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40" firstSheet="0" activeTab="1"/>
  </bookViews>
  <sheets>
    <sheet name="1.Required Start-Up Funds" sheetId="1" state="visible" r:id="rId2"/>
    <sheet name="2. Salaries and Wages" sheetId="2" state="visible" r:id="rId3"/>
    <sheet name="3. Operating Expenses" sheetId="3" state="visible" r:id="rId4"/>
    <sheet name="4. Sales Forecast" sheetId="4" state="visible" r:id="rId5"/>
    <sheet name="5. Income Statement" sheetId="5" state="visible" r:id="rId6"/>
    <sheet name="6. Breakeven Analysis" sheetId="6" state="visible" r:id="rId7"/>
  </sheets>
  <calcPr iterateCount="100" refMode="A1" iterate="false" iterateDelta="0.001"/>
</workbook>
</file>

<file path=xl/sharedStrings.xml><?xml version="1.0" encoding="utf-8"?>
<sst xmlns="http://schemas.openxmlformats.org/spreadsheetml/2006/main" count="289" uniqueCount="145">
  <si>
    <t>Lopoco</t>
  </si>
  <si>
    <t>Required Start-Up Funds</t>
  </si>
  <si>
    <t>Amount</t>
  </si>
  <si>
    <t>Fixed Assets</t>
  </si>
  <si>
    <t>Leasehold Improvements</t>
  </si>
  <si>
    <t>Equipment – computers, network, software</t>
  </si>
  <si>
    <t>Furniture and Fixtures</t>
  </si>
  <si>
    <t>Vehicles</t>
  </si>
  <si>
    <t>Total Fixed Assets</t>
  </si>
  <si>
    <t>Product Development</t>
  </si>
  <si>
    <t>Custom motherboards</t>
  </si>
  <si>
    <t>Prototype servers</t>
  </si>
  <si>
    <t>Other product development costs</t>
  </si>
  <si>
    <t>Total Product Development</t>
  </si>
  <si>
    <t>Operating Capital</t>
  </si>
  <si>
    <t>Salaries and Wages (6 months)</t>
  </si>
  <si>
    <t>Operating Expenses (6 months)</t>
  </si>
  <si>
    <t>Purchased parts &amp; services (6 months)</t>
  </si>
  <si>
    <t>Legal and Accounting Fees</t>
  </si>
  <si>
    <t>Working Capital (Cash On Hand)</t>
  </si>
  <si>
    <t>Total Operating Capital</t>
  </si>
  <si>
    <t>Total Required Funds</t>
  </si>
  <si>
    <t>Salaries and Wages</t>
  </si>
  <si>
    <t>Salaries and Related Expenses</t>
  </si>
  <si>
    <t>Yearly</t>
  </si>
  <si>
    <t>Month1</t>
  </si>
  <si>
    <t>Month2</t>
  </si>
  <si>
    <t>Month3</t>
  </si>
  <si>
    <t>Month4</t>
  </si>
  <si>
    <t>Month5</t>
  </si>
  <si>
    <t>Month6</t>
  </si>
  <si>
    <t>Month7</t>
  </si>
  <si>
    <t>Month8</t>
  </si>
  <si>
    <t>Month9</t>
  </si>
  <si>
    <t>Month10</t>
  </si>
  <si>
    <t>Month11</t>
  </si>
  <si>
    <t>Month12</t>
  </si>
  <si>
    <t>Year One</t>
  </si>
  <si>
    <t>Year Two</t>
  </si>
  <si>
    <t>Year Three</t>
  </si>
  <si>
    <t>Chief Comp Employees</t>
  </si>
  <si>
    <t>Chief Comp Salary</t>
  </si>
  <si>
    <t>High Comp Employees</t>
  </si>
  <si>
    <t>High CompSalary ($175k)</t>
  </si>
  <si>
    <t>Med Comp Employees</t>
  </si>
  <si>
    <t>Med CompSalary ($125k)</t>
  </si>
  <si>
    <t>Int Comp Employees</t>
  </si>
  <si>
    <t>Int CompSalary ($90k)</t>
  </si>
  <si>
    <t>Low Comp Employees</t>
  </si>
  <si>
    <t>Low CompSalary ($60k)</t>
  </si>
  <si>
    <t>Total Headcount</t>
  </si>
  <si>
    <t>Total Salaries and Wages</t>
  </si>
  <si>
    <t>Payroll Taxes and Benefits</t>
  </si>
  <si>
    <t>Social Security</t>
  </si>
  <si>
    <t>Medicare</t>
  </si>
  <si>
    <t>Federal Unemployment Tax (FUTA)</t>
  </si>
  <si>
    <t>State Unemployment Tax (SUTA)</t>
  </si>
  <si>
    <t>Employee Pension Programs</t>
  </si>
  <si>
    <t>Worker's Compensation</t>
  </si>
  <si>
    <t>Employee Health Insurance</t>
  </si>
  <si>
    <t>Other Employee Benefit Programs</t>
  </si>
  <si>
    <t>Total Payroll Taxes and Benefits</t>
  </si>
  <si>
    <t>Total Salaries and Related Expenses</t>
  </si>
  <si>
    <t>revenue per person</t>
  </si>
  <si>
    <t>Annualized revenue per person</t>
  </si>
  <si>
    <t>Operating Expenses</t>
  </si>
  <si>
    <t>Year 1</t>
  </si>
  <si>
    <t>Year2</t>
  </si>
  <si>
    <t>Fixed Business Expenses</t>
  </si>
  <si>
    <t>Advertising</t>
  </si>
  <si>
    <t>Car and Truck Expenses</t>
  </si>
  <si>
    <t>Bank &amp; Merchant Fees</t>
  </si>
  <si>
    <t>Contract Labor</t>
  </si>
  <si>
    <t>Conferences &amp; Seminars</t>
  </si>
  <si>
    <t>Customer Discounts and Refunds</t>
  </si>
  <si>
    <t>Dues and Subscriptions</t>
  </si>
  <si>
    <t>Miscellaneous</t>
  </si>
  <si>
    <t>Insurance (Liability and Property)</t>
  </si>
  <si>
    <t>Licenses/Fees/Permits</t>
  </si>
  <si>
    <t>Legal and Professional Fees</t>
  </si>
  <si>
    <t>Office Expenses &amp; Supplies</t>
  </si>
  <si>
    <t>Postage and Delivery</t>
  </si>
  <si>
    <t>Rent (on business property)</t>
  </si>
  <si>
    <t>Rent of Vehicles and Equipment</t>
  </si>
  <si>
    <t>Sales &amp; Marketing</t>
  </si>
  <si>
    <t>Taxes-Other</t>
  </si>
  <si>
    <t>Telephone, Internet and Communications</t>
  </si>
  <si>
    <t>Travel</t>
  </si>
  <si>
    <t>Utilities</t>
  </si>
  <si>
    <t>Total Fixed Business Expenses</t>
  </si>
  <si>
    <t>6 month</t>
  </si>
  <si>
    <t>Projected Sales Forecast</t>
  </si>
  <si>
    <t>Server A/Datacenter series</t>
  </si>
  <si>
    <t>units</t>
  </si>
  <si>
    <t>Price Per Unit</t>
  </si>
  <si>
    <t>Variable Cost Per Unit</t>
  </si>
  <si>
    <t>Total Revenue</t>
  </si>
  <si>
    <t>Total Cost</t>
  </si>
  <si>
    <t>Total GPM</t>
  </si>
  <si>
    <t>Contribution Margin %</t>
  </si>
  <si>
    <t>Support contracts</t>
  </si>
  <si>
    <t>Support costs</t>
  </si>
  <si>
    <t>Server B/Computation series</t>
  </si>
  <si>
    <t>Server D/Small-Medium Businesses series</t>
  </si>
  <si>
    <t>Server SC/Storage Server series</t>
  </si>
  <si>
    <t>Cloud Services</t>
  </si>
  <si>
    <t>New customers</t>
  </si>
  <si>
    <t>Avg. revenue per customer</t>
  </si>
  <si>
    <t>Infrastructure costs</t>
  </si>
  <si>
    <t>Professional services income</t>
  </si>
  <si>
    <t>Total</t>
  </si>
  <si>
    <t>units in field</t>
  </si>
  <si>
    <t>Projected Income Statement - Year One</t>
  </si>
  <si>
    <t>Year 2</t>
  </si>
  <si>
    <t>Year 3</t>
  </si>
  <si>
    <t>Income</t>
  </si>
  <si>
    <t>Server A/Datacenter Series</t>
  </si>
  <si>
    <t>Server B/Computation Series</t>
  </si>
  <si>
    <t>Server D/SMB Series</t>
  </si>
  <si>
    <t>Server SC/Storage Server Series</t>
  </si>
  <si>
    <t>Product/Service C</t>
  </si>
  <si>
    <t>Total Income</t>
  </si>
  <si>
    <t>Cost of Sales</t>
  </si>
  <si>
    <t>Total Cost of Sales</t>
  </si>
  <si>
    <t>Gross Margin</t>
  </si>
  <si>
    <t>Salary and Wages</t>
  </si>
  <si>
    <t>Total Expenses</t>
  </si>
  <si>
    <t>Net Income</t>
  </si>
  <si>
    <t>Breakeven Analysis</t>
  </si>
  <si>
    <t>($)</t>
  </si>
  <si>
    <t>Month 1</t>
  </si>
  <si>
    <t>Month 2</t>
  </si>
  <si>
    <t>Month 3</t>
  </si>
  <si>
    <t>Month 4</t>
  </si>
  <si>
    <t>Month 5</t>
  </si>
  <si>
    <t>Month 6</t>
  </si>
  <si>
    <t>Month 7</t>
  </si>
  <si>
    <t>Month 8</t>
  </si>
  <si>
    <t>Month 9</t>
  </si>
  <si>
    <t>Month 11</t>
  </si>
  <si>
    <t>Month 12</t>
  </si>
  <si>
    <t>Total projected sales</t>
  </si>
  <si>
    <t>Fixed Operating Expenses</t>
  </si>
  <si>
    <t>Net Profit before Taxes,  etc.</t>
  </si>
  <si>
    <t>Running total profits/losses</t>
  </si>
</sst>
</file>

<file path=xl/styles.xml><?xml version="1.0" encoding="utf-8"?>
<styleSheet xmlns="http://schemas.openxmlformats.org/spreadsheetml/2006/main">
  <numFmts count="16">
    <numFmt numFmtId="164" formatCode="GENERAL"/>
    <numFmt numFmtId="165" formatCode="#,##0.00\ ;&quot; (&quot;#,##0.00\);&quot; -&quot;#\ ;@\ "/>
    <numFmt numFmtId="166" formatCode="&quot; $&quot;#,##0.00\ ;&quot; $(&quot;#,##0.00\);&quot; $-&quot;#\ ;@\ "/>
    <numFmt numFmtId="167" formatCode="0%"/>
    <numFmt numFmtId="168" formatCode="[$$-409]#,##0;\-[$$-409]#,##0"/>
    <numFmt numFmtId="169" formatCode="&quot; $&quot;#,##0\ ;&quot; $(&quot;#,##0\);&quot; $-&quot;#\ ;@\ "/>
    <numFmt numFmtId="170" formatCode="#,##0\ ;&quot; (&quot;#,##0\);&quot; -&quot;#\ ;@\ "/>
    <numFmt numFmtId="171" formatCode="D\-MMM\-YY"/>
    <numFmt numFmtId="172" formatCode="@"/>
    <numFmt numFmtId="173" formatCode="MMM\-YY"/>
    <numFmt numFmtId="174" formatCode="#,##0"/>
    <numFmt numFmtId="175" formatCode="0.00%"/>
    <numFmt numFmtId="176" formatCode="#,##0;[RED]\-#,##0"/>
    <numFmt numFmtId="177" formatCode="[$$-409]#,##0.00;\-[$$-409]#,##0.00"/>
    <numFmt numFmtId="178" formatCode="[$$-409]#,##0.00;[RED]\-[$$-409]#,##0.00"/>
    <numFmt numFmtId="179" formatCode="0"/>
  </numFmts>
  <fonts count="20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9"/>
      <name val="Arial"/>
      <family val="2"/>
    </font>
    <font>
      <sz val="11"/>
      <color rgb="FF000000"/>
      <name val="Calibri"/>
      <family val="2"/>
    </font>
    <font>
      <b val="true"/>
      <sz val="14"/>
      <color rgb="FF00FF00"/>
      <name val="Arial"/>
      <family val="2"/>
    </font>
    <font>
      <b val="true"/>
      <sz val="12"/>
      <name val="Arial"/>
      <family val="2"/>
    </font>
    <font>
      <b val="true"/>
      <sz val="12"/>
      <color rgb="FFFF0000"/>
      <name val="Arial"/>
      <family val="2"/>
    </font>
    <font>
      <b val="true"/>
      <sz val="9"/>
      <name val="Arial"/>
      <family val="2"/>
    </font>
    <font>
      <sz val="9"/>
      <color rgb="FFFF0000"/>
      <name val="Arial"/>
      <family val="2"/>
    </font>
    <font>
      <b val="true"/>
      <sz val="9"/>
      <color rgb="FFFF0000"/>
      <name val="Arial"/>
      <family val="2"/>
    </font>
    <font>
      <sz val="9"/>
      <color rgb="FF000000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  <font>
      <b val="true"/>
      <sz val="9"/>
      <color rgb="FF000000"/>
      <name val="Arial"/>
      <family val="2"/>
    </font>
    <font>
      <b val="true"/>
      <sz val="10"/>
      <name val="Arial"/>
      <family val="2"/>
    </font>
    <font>
      <sz val="10"/>
      <color rgb="FF000000"/>
      <name val="Arial"/>
      <family val="2"/>
    </font>
    <font>
      <sz val="8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69696"/>
        <bgColor rgb="FF808080"/>
      </patternFill>
    </fill>
    <fill>
      <patternFill patternType="solid">
        <fgColor rgb="FFFFFF00"/>
        <bgColor rgb="FFFFFF00"/>
      </patternFill>
    </fill>
    <fill>
      <patternFill patternType="solid">
        <fgColor rgb="FFC0C0C0"/>
        <bgColor rgb="FFCCCCFF"/>
      </patternFill>
    </fill>
  </fills>
  <borders count="10">
    <border diagonalUp="false" diagonalDown="false">
      <left/>
      <right/>
      <top/>
      <bottom/>
      <diagonal/>
    </border>
    <border diagonalUp="false" diagonalDown="false">
      <left/>
      <right/>
      <top/>
      <bottom style="medium"/>
      <diagonal/>
    </border>
    <border diagonalUp="false" diagonalDown="false">
      <left/>
      <right/>
      <top style="medium"/>
      <bottom style="double"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 style="hair"/>
      <top/>
      <bottom/>
      <diagonal/>
    </border>
    <border diagonalUp="false" diagonalDown="false">
      <left/>
      <right style="hair"/>
      <top/>
      <bottom style="medium"/>
      <diagonal/>
    </border>
    <border diagonalUp="false" diagonalDown="false">
      <left/>
      <right/>
      <top/>
      <bottom style="thin"/>
      <diagonal/>
    </border>
    <border diagonalUp="false" diagonalDown="false">
      <left/>
      <right/>
      <top/>
      <bottom style="thick"/>
      <diagonal/>
    </border>
    <border diagonalUp="false" diagonalDown="false">
      <left/>
      <right/>
      <top/>
      <bottom style="double"/>
      <diagonal/>
    </border>
    <border diagonalUp="false" diagonalDown="false">
      <left style="hair"/>
      <right style="hair"/>
      <top style="hair"/>
      <bottom style="hair"/>
      <diagonal/>
    </border>
  </borders>
  <cellStyleXfs count="26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65" fontId="5" fillId="0" borderId="0" applyFont="true" applyBorder="false" applyAlignment="false" applyProtection="false"/>
    <xf numFmtId="41" fontId="1" fillId="0" borderId="0" applyFont="true" applyBorder="false" applyAlignment="false" applyProtection="false"/>
    <xf numFmtId="166" fontId="5" fillId="0" borderId="0" applyFont="true" applyBorder="false" applyAlignment="false" applyProtection="false"/>
    <xf numFmtId="42" fontId="1" fillId="0" borderId="0" applyFont="true" applyBorder="false" applyAlignment="false" applyProtection="false"/>
    <xf numFmtId="167" fontId="5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5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5" fillId="0" borderId="0" applyFont="true" applyBorder="false" applyAlignment="false" applyProtection="false"/>
    <xf numFmtId="167" fontId="5" fillId="0" borderId="0" applyFont="true" applyBorder="false" applyAlignment="false" applyProtection="false"/>
  </cellStyleXfs>
  <cellXfs count="17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0" xfId="23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7" fillId="0" borderId="0" xfId="23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8" fillId="0" borderId="0" xfId="23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0" xfId="23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8" fillId="0" borderId="0" xfId="23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23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23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23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0" xfId="23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23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0" xfId="23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8" fontId="0" fillId="0" borderId="0" xfId="23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9" fontId="0" fillId="0" borderId="0" xfId="1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0" fillId="0" borderId="0" xfId="23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9" fontId="0" fillId="0" borderId="0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0" fontId="0" fillId="0" borderId="0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0" borderId="0" xfId="15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4" fillId="0" borderId="0" xfId="23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10" fillId="0" borderId="0" xfId="23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9" fontId="0" fillId="0" borderId="1" xfId="23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0" xfId="23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9" fontId="0" fillId="0" borderId="2" xfId="23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12" fillId="0" borderId="0" xfId="1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0" xfId="2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3" fillId="0" borderId="0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1" fontId="9" fillId="0" borderId="0" xfId="21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15" fillId="0" borderId="0" xfId="1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2" fontId="9" fillId="0" borderId="0" xfId="21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9" fillId="0" borderId="0" xfId="21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73" fontId="4" fillId="0" borderId="0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16" fillId="0" borderId="0" xfId="17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9" fontId="12" fillId="0" borderId="0" xfId="17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5" fontId="4" fillId="0" borderId="0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3" borderId="0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3" borderId="0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3" borderId="0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3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12" fillId="3" borderId="0" xfId="1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4" fontId="4" fillId="0" borderId="0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2" fillId="0" borderId="0" xfId="1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5" fontId="12" fillId="0" borderId="0" xfId="19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74" fontId="4" fillId="0" borderId="0" xfId="15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12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4" fillId="0" borderId="0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0" xfId="2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3" fillId="0" borderId="0" xfId="21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21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71" fontId="9" fillId="0" borderId="0" xfId="21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7" fillId="0" borderId="0" xfId="21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21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2" fontId="9" fillId="0" borderId="0" xfId="21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72" fontId="4" fillId="0" borderId="3" xfId="22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3" fontId="4" fillId="0" borderId="4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2" fontId="4" fillId="0" borderId="3" xfId="22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0" borderId="0" xfId="21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0" fontId="4" fillId="0" borderId="0" xfId="22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70" fontId="4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0" fontId="4" fillId="0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0" fontId="4" fillId="0" borderId="4" xfId="22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6" fontId="1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6" fontId="12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6" fontId="4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6" fontId="4" fillId="0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4" fontId="9" fillId="0" borderId="0" xfId="21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4" fontId="4" fillId="0" borderId="0" xfId="22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4" fontId="4" fillId="0" borderId="4" xfId="22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4" fontId="4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4" fontId="4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4" fontId="4" fillId="0" borderId="1" xfId="22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4" fontId="4" fillId="0" borderId="5" xfId="22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4" fontId="4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4" fontId="4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0" fontId="4" fillId="0" borderId="1" xfId="22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9" fontId="15" fillId="0" borderId="0" xfId="17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4" fillId="0" borderId="0" xfId="21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0" borderId="4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21" applyFont="true" applyBorder="false" applyAlignment="true" applyProtection="true">
      <alignment horizontal="general" vertical="bottom" textRotation="0" wrapText="false" indent="0" shrinkToFit="false"/>
      <protection locked="false" hidden="false"/>
    </xf>
    <xf numFmtId="174" fontId="4" fillId="0" borderId="0" xfId="21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4" fontId="4" fillId="0" borderId="4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4" fillId="0" borderId="0" xfId="24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75" fontId="4" fillId="0" borderId="0" xfId="25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6" fontId="18" fillId="0" borderId="0" xfId="1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18" fillId="0" borderId="4" xfId="1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7" fontId="18" fillId="0" borderId="0" xfId="1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7" fontId="18" fillId="0" borderId="4" xfId="1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4" fillId="0" borderId="6" xfId="24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6" fontId="4" fillId="0" borderId="0" xfId="24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9" fontId="15" fillId="0" borderId="0" xfId="17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9" fontId="18" fillId="0" borderId="0" xfId="1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18" fillId="0" borderId="4" xfId="1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15" fillId="0" borderId="0" xfId="19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12" fillId="0" borderId="0" xfId="19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15" fillId="0" borderId="0" xfId="19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18" fillId="0" borderId="0" xfId="19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18" fillId="0" borderId="4" xfId="19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8" fontId="15" fillId="0" borderId="0" xfId="19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8" fontId="12" fillId="0" borderId="0" xfId="19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8" fontId="15" fillId="0" borderId="0" xfId="19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8" fontId="18" fillId="0" borderId="0" xfId="19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8" fontId="18" fillId="0" borderId="4" xfId="19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4" fillId="0" borderId="0" xfId="24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9" fontId="4" fillId="0" borderId="0" xfId="21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8" fontId="1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5" fontId="4" fillId="0" borderId="0" xfId="25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70" fontId="4" fillId="0" borderId="0" xfId="21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0" fontId="4" fillId="0" borderId="0" xfId="22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0" fontId="4" fillId="0" borderId="0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4" fontId="0" fillId="0" borderId="0" xfId="21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4" borderId="0" xfId="21" applyFont="true" applyBorder="false" applyAlignment="true" applyProtection="true">
      <alignment horizontal="general" vertical="bottom" textRotation="0" wrapText="false" indent="0" shrinkToFit="false"/>
      <protection locked="false" hidden="false"/>
    </xf>
    <xf numFmtId="164" fontId="4" fillId="4" borderId="0" xfId="21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4" borderId="0" xfId="21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4" borderId="4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4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4" fontId="4" fillId="4" borderId="0" xfId="21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4" fontId="4" fillId="4" borderId="4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4" borderId="0" xfId="21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4" fillId="4" borderId="0" xfId="24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75" fontId="4" fillId="4" borderId="0" xfId="25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6" fontId="15" fillId="4" borderId="0" xfId="1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15" fillId="4" borderId="4" xfId="1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4" fillId="4" borderId="6" xfId="24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6" fontId="4" fillId="4" borderId="0" xfId="24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9" fontId="15" fillId="4" borderId="0" xfId="1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15" fillId="4" borderId="0" xfId="17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9" fontId="15" fillId="4" borderId="0" xfId="17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9" fontId="18" fillId="4" borderId="0" xfId="1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18" fillId="4" borderId="4" xfId="1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19" fillId="4" borderId="0" xfId="1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15" fillId="4" borderId="0" xfId="19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15" fillId="4" borderId="0" xfId="19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18" fillId="4" borderId="0" xfId="19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18" fillId="4" borderId="4" xfId="19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19" fillId="4" borderId="0" xfId="19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8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4" fontId="1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0" xfId="21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21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7" xfId="21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70" fontId="4" fillId="0" borderId="1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0" fontId="12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5" fontId="4" fillId="0" borderId="1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5" fontId="4" fillId="0" borderId="1" xfId="22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0" fontId="9" fillId="0" borderId="1" xfId="22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0" fontId="4" fillId="0" borderId="8" xfId="22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9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3" fontId="0" fillId="0" borderId="9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4" fontId="0" fillId="0" borderId="9" xfId="24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4" fontId="18" fillId="0" borderId="9" xfId="22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4" fontId="0" fillId="0" borderId="9" xfId="22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4" fontId="0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4" fontId="0" fillId="0" borderId="9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4" fontId="0" fillId="0" borderId="9" xfId="2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4" fontId="18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6" fontId="0" fillId="0" borderId="9" xfId="22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6" fontId="0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8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12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Normal 2" xfId="20" builtinId="54" customBuiltin="true"/>
    <cellStyle name="Normal 3" xfId="21" builtinId="54" customBuiltin="true"/>
    <cellStyle name="Comma 3" xfId="22" builtinId="54" customBuiltin="true"/>
    <cellStyle name="Normal_1.Required Start-Up Funds" xfId="23" builtinId="54" customBuiltin="true"/>
    <cellStyle name="Currency 3" xfId="24" builtinId="54" customBuiltin="true"/>
    <cellStyle name="Percent 3" xfId="25" builtinId="54" customBuiltin="tru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77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E16" activeCellId="0" sqref="E16"/>
    </sheetView>
  </sheetViews>
  <sheetFormatPr defaultRowHeight="12.75"/>
  <cols>
    <col collapsed="false" hidden="false" max="1" min="1" style="1" width="14.4183673469388"/>
    <col collapsed="false" hidden="false" max="2" min="2" style="1" width="9.16326530612245"/>
    <col collapsed="false" hidden="false" max="3" min="3" style="1" width="39.0663265306122"/>
    <col collapsed="false" hidden="false" max="4" min="4" style="1" width="5.93877551020408"/>
    <col collapsed="false" hidden="false" max="5" min="5" style="1" width="12.5714285714286"/>
    <col collapsed="false" hidden="false" max="6" min="6" style="1" width="10.8520408163265"/>
    <col collapsed="false" hidden="false" max="7" min="7" style="1" width="13.0510204081633"/>
    <col collapsed="false" hidden="false" max="8" min="8" style="1" width="13.4183673469388"/>
    <col collapsed="false" hidden="false" max="257" min="9" style="1" width="10.8520408163265"/>
    <col collapsed="false" hidden="false" max="1025" min="258" style="0" width="10.8520408163265"/>
  </cols>
  <sheetData>
    <row r="1" customFormat="false" ht="19.35" hidden="false" customHeight="false" outlineLevel="0" collapsed="false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0"/>
    </row>
    <row r="2" customFormat="false" ht="14.9" hidden="false" customHeight="true" outlineLevel="0" collapsed="false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customFormat="false" ht="12.75" hidden="false" customHeight="false" outlineLevel="0" collapsed="false">
      <c r="A3" s="6"/>
      <c r="B3" s="7"/>
      <c r="C3" s="7"/>
      <c r="D3" s="8"/>
      <c r="E3" s="8"/>
      <c r="F3" s="8"/>
      <c r="G3" s="8"/>
      <c r="H3" s="8"/>
      <c r="I3" s="8"/>
      <c r="J3" s="8"/>
      <c r="K3" s="8"/>
      <c r="L3" s="8"/>
      <c r="M3" s="8"/>
    </row>
    <row r="4" customFormat="false" ht="14.65" hidden="false" customHeight="false" outlineLevel="0" collapsed="false">
      <c r="A4" s="8"/>
      <c r="B4" s="7"/>
      <c r="C4" s="7"/>
      <c r="D4" s="8"/>
      <c r="E4" s="8"/>
      <c r="F4" s="8"/>
      <c r="G4" s="8"/>
      <c r="H4" s="8"/>
      <c r="I4" s="8"/>
      <c r="J4" s="8"/>
      <c r="K4" s="8"/>
      <c r="L4" s="8"/>
      <c r="M4" s="8"/>
    </row>
    <row r="5" customFormat="false" ht="14.65" hidden="false" customHeight="false" outlineLevel="0" collapsed="false">
      <c r="A5" s="8"/>
      <c r="B5" s="7"/>
      <c r="C5" s="7"/>
      <c r="D5" s="8"/>
      <c r="E5" s="8"/>
      <c r="F5" s="8"/>
      <c r="G5" s="8"/>
      <c r="H5" s="8"/>
      <c r="I5" s="8"/>
      <c r="J5" s="8"/>
      <c r="K5" s="8"/>
      <c r="L5" s="8"/>
      <c r="M5" s="8"/>
    </row>
    <row r="6" customFormat="false" ht="14.65" hidden="false" customHeight="false" outlineLevel="0" collapsed="false">
      <c r="A6" s="7" t="s">
        <v>1</v>
      </c>
      <c r="B6" s="7"/>
      <c r="C6" s="7"/>
      <c r="D6" s="7"/>
      <c r="E6" s="9" t="s">
        <v>2</v>
      </c>
      <c r="F6" s="9"/>
      <c r="G6" s="9"/>
      <c r="H6" s="0"/>
      <c r="I6" s="0"/>
      <c r="J6" s="0"/>
      <c r="K6" s="7"/>
      <c r="L6" s="7"/>
      <c r="M6" s="7"/>
    </row>
    <row r="7" customFormat="false" ht="12.75" hidden="false" customHeight="false" outlineLevel="0" collapsed="false">
      <c r="A7" s="10"/>
      <c r="B7" s="10" t="s">
        <v>3</v>
      </c>
      <c r="C7" s="10"/>
      <c r="D7" s="8"/>
      <c r="E7" s="10"/>
      <c r="F7" s="10"/>
      <c r="G7" s="10"/>
      <c r="H7" s="0"/>
      <c r="I7" s="0"/>
      <c r="J7" s="0"/>
      <c r="K7" s="11"/>
      <c r="L7" s="8"/>
      <c r="M7" s="8"/>
    </row>
    <row r="8" customFormat="false" ht="14.65" hidden="false" customHeight="false" outlineLevel="0" collapsed="false">
      <c r="A8" s="10"/>
      <c r="B8" s="10"/>
      <c r="C8" s="12" t="s">
        <v>4</v>
      </c>
      <c r="D8" s="8"/>
      <c r="E8" s="13" t="n">
        <v>0</v>
      </c>
      <c r="F8" s="14"/>
      <c r="G8" s="15"/>
      <c r="H8" s="0"/>
      <c r="I8" s="0"/>
      <c r="J8" s="0"/>
      <c r="K8" s="11"/>
      <c r="L8" s="8"/>
      <c r="M8" s="8"/>
    </row>
    <row r="9" customFormat="false" ht="14.65" hidden="false" customHeight="false" outlineLevel="0" collapsed="false">
      <c r="A9" s="10"/>
      <c r="B9" s="10"/>
      <c r="C9" s="12" t="s">
        <v>5</v>
      </c>
      <c r="D9" s="8"/>
      <c r="E9" s="15" t="n">
        <v>1000</v>
      </c>
      <c r="F9" s="16"/>
      <c r="G9" s="15"/>
      <c r="H9" s="0"/>
      <c r="I9" s="0"/>
      <c r="J9" s="0"/>
      <c r="K9" s="11"/>
      <c r="L9" s="8"/>
      <c r="M9" s="8"/>
    </row>
    <row r="10" customFormat="false" ht="14.65" hidden="false" customHeight="false" outlineLevel="0" collapsed="false">
      <c r="A10" s="10"/>
      <c r="B10" s="10"/>
      <c r="C10" s="12" t="s">
        <v>6</v>
      </c>
      <c r="D10" s="8"/>
      <c r="E10" s="15" t="n">
        <v>1000</v>
      </c>
      <c r="F10" s="16"/>
      <c r="G10" s="15"/>
      <c r="H10" s="0"/>
      <c r="I10" s="0"/>
      <c r="J10" s="0"/>
      <c r="K10" s="11"/>
      <c r="L10" s="8"/>
      <c r="M10" s="8"/>
    </row>
    <row r="11" customFormat="false" ht="14.65" hidden="false" customHeight="false" outlineLevel="0" collapsed="false">
      <c r="A11" s="10"/>
      <c r="B11" s="10"/>
      <c r="C11" s="12" t="s">
        <v>7</v>
      </c>
      <c r="D11" s="8"/>
      <c r="E11" s="13" t="n">
        <v>0</v>
      </c>
      <c r="F11" s="16"/>
      <c r="G11" s="15"/>
      <c r="H11" s="0"/>
      <c r="I11" s="0"/>
      <c r="J11" s="0"/>
      <c r="K11" s="11"/>
      <c r="L11" s="8"/>
      <c r="M11" s="8"/>
    </row>
    <row r="12" customFormat="false" ht="12.75" hidden="false" customHeight="false" outlineLevel="0" collapsed="false">
      <c r="A12" s="10"/>
      <c r="B12" s="10" t="s">
        <v>8</v>
      </c>
      <c r="C12" s="10"/>
      <c r="D12" s="8"/>
      <c r="E12" s="15" t="n">
        <f aca="false">SUM(E8:E11)</f>
        <v>2000</v>
      </c>
      <c r="F12" s="15"/>
      <c r="G12" s="17"/>
      <c r="H12" s="8"/>
      <c r="I12" s="8"/>
      <c r="J12" s="18"/>
      <c r="K12" s="11"/>
      <c r="L12" s="8"/>
      <c r="M12" s="8"/>
    </row>
    <row r="13" customFormat="false" ht="12.75" hidden="false" customHeight="false" outlineLevel="0" collapsed="false">
      <c r="A13" s="10"/>
      <c r="B13" s="10"/>
      <c r="C13" s="10"/>
      <c r="D13" s="8"/>
      <c r="E13" s="15"/>
      <c r="F13" s="15"/>
      <c r="G13" s="17"/>
      <c r="H13" s="8"/>
      <c r="I13" s="8"/>
      <c r="J13" s="18"/>
      <c r="K13" s="11"/>
      <c r="L13" s="8"/>
      <c r="M13" s="8"/>
    </row>
    <row r="14" customFormat="false" ht="14.65" hidden="false" customHeight="false" outlineLevel="0" collapsed="false">
      <c r="A14" s="10"/>
      <c r="B14" s="10" t="s">
        <v>9</v>
      </c>
      <c r="C14" s="10"/>
      <c r="D14" s="8"/>
      <c r="E14" s="15"/>
      <c r="F14" s="15"/>
      <c r="G14" s="15"/>
      <c r="H14" s="8"/>
      <c r="I14" s="8"/>
      <c r="J14" s="19"/>
      <c r="K14" s="11"/>
      <c r="L14" s="8"/>
      <c r="M14" s="8"/>
    </row>
    <row r="15" customFormat="false" ht="14.65" hidden="false" customHeight="false" outlineLevel="0" collapsed="false">
      <c r="A15" s="10"/>
      <c r="B15" s="10"/>
      <c r="C15" s="10" t="s">
        <v>10</v>
      </c>
      <c r="D15" s="8"/>
      <c r="E15" s="15" t="n">
        <v>30000</v>
      </c>
      <c r="F15" s="15"/>
      <c r="G15" s="15"/>
      <c r="H15" s="8"/>
      <c r="I15" s="8"/>
      <c r="J15" s="19"/>
      <c r="K15" s="11"/>
      <c r="L15" s="8"/>
      <c r="M15" s="8"/>
    </row>
    <row r="16" customFormat="false" ht="14.65" hidden="false" customHeight="false" outlineLevel="0" collapsed="false">
      <c r="A16" s="10"/>
      <c r="B16" s="10"/>
      <c r="C16" s="10" t="s">
        <v>11</v>
      </c>
      <c r="D16" s="8"/>
      <c r="E16" s="15" t="n">
        <v>10000</v>
      </c>
      <c r="F16" s="15"/>
      <c r="G16" s="15"/>
      <c r="H16" s="8"/>
      <c r="I16" s="8"/>
      <c r="J16" s="19"/>
      <c r="K16" s="11"/>
      <c r="L16" s="8"/>
      <c r="M16" s="8"/>
    </row>
    <row r="17" customFormat="false" ht="14.65" hidden="false" customHeight="false" outlineLevel="0" collapsed="false">
      <c r="A17" s="10"/>
      <c r="B17" s="10"/>
      <c r="C17" s="10" t="s">
        <v>12</v>
      </c>
      <c r="D17" s="8"/>
      <c r="E17" s="15" t="n">
        <v>5000</v>
      </c>
      <c r="F17" s="15"/>
      <c r="G17" s="15"/>
      <c r="H17" s="8"/>
      <c r="I17" s="8"/>
      <c r="J17" s="19"/>
      <c r="K17" s="11"/>
      <c r="L17" s="8"/>
      <c r="M17" s="8"/>
    </row>
    <row r="18" customFormat="false" ht="14.65" hidden="false" customHeight="false" outlineLevel="0" collapsed="false">
      <c r="A18" s="10"/>
      <c r="B18" s="10" t="s">
        <v>13</v>
      </c>
      <c r="C18" s="10"/>
      <c r="D18" s="8"/>
      <c r="E18" s="15" t="n">
        <f aca="false">SUM(E15:E17)</f>
        <v>45000</v>
      </c>
      <c r="F18" s="15"/>
      <c r="G18" s="15"/>
      <c r="H18" s="8"/>
      <c r="I18" s="8"/>
      <c r="J18" s="19"/>
      <c r="K18" s="11"/>
      <c r="L18" s="8"/>
      <c r="M18" s="8"/>
    </row>
    <row r="19" customFormat="false" ht="14.65" hidden="false" customHeight="false" outlineLevel="0" collapsed="false">
      <c r="A19" s="10"/>
      <c r="B19" s="10"/>
      <c r="C19" s="10"/>
      <c r="D19" s="8"/>
      <c r="E19" s="15"/>
      <c r="F19" s="15"/>
      <c r="G19" s="15"/>
      <c r="H19" s="8"/>
      <c r="I19" s="8"/>
      <c r="J19" s="19"/>
      <c r="K19" s="11"/>
      <c r="L19" s="8"/>
      <c r="M19" s="8"/>
    </row>
    <row r="20" customFormat="false" ht="14.65" hidden="false" customHeight="false" outlineLevel="0" collapsed="false">
      <c r="A20" s="10"/>
      <c r="B20" s="10" t="s">
        <v>14</v>
      </c>
      <c r="C20" s="10"/>
      <c r="D20" s="8"/>
      <c r="E20" s="15"/>
      <c r="F20" s="15"/>
      <c r="G20" s="15"/>
      <c r="H20" s="8"/>
      <c r="I20" s="8"/>
      <c r="J20" s="11"/>
      <c r="K20" s="11"/>
      <c r="L20" s="8"/>
      <c r="M20" s="8"/>
    </row>
    <row r="21" customFormat="false" ht="14.65" hidden="false" customHeight="false" outlineLevel="0" collapsed="false">
      <c r="A21" s="10"/>
      <c r="B21" s="10"/>
      <c r="C21" s="10" t="s">
        <v>15</v>
      </c>
      <c r="D21" s="8"/>
      <c r="E21" s="15" t="n">
        <f aca="false">SUM('2. Salaries and Wages'!H39:M39)</f>
        <v>238680.625</v>
      </c>
      <c r="F21" s="14"/>
      <c r="G21" s="15"/>
      <c r="H21" s="8"/>
      <c r="I21" s="8"/>
      <c r="J21" s="11"/>
      <c r="K21" s="11"/>
      <c r="L21" s="8"/>
      <c r="M21" s="8"/>
    </row>
    <row r="22" customFormat="false" ht="14.65" hidden="false" customHeight="false" outlineLevel="0" collapsed="false">
      <c r="A22" s="10"/>
      <c r="B22" s="10"/>
      <c r="C22" s="10" t="s">
        <v>16</v>
      </c>
      <c r="D22" s="8"/>
      <c r="E22" s="15" t="n">
        <f aca="false">SUM('3. Operating Expenses'!C26:H26)-E24</f>
        <v>53443</v>
      </c>
      <c r="F22" s="16"/>
      <c r="G22" s="15"/>
      <c r="H22" s="8"/>
      <c r="I22" s="8"/>
      <c r="J22" s="11"/>
      <c r="K22" s="11"/>
      <c r="L22" s="8"/>
      <c r="M22" s="8"/>
    </row>
    <row r="23" customFormat="false" ht="12.75" hidden="false" customHeight="false" outlineLevel="0" collapsed="false">
      <c r="A23" s="10"/>
      <c r="B23" s="10"/>
      <c r="C23" s="10" t="s">
        <v>17</v>
      </c>
      <c r="D23" s="8"/>
      <c r="E23" s="15" t="n">
        <v>500</v>
      </c>
      <c r="F23" s="16"/>
      <c r="G23" s="15"/>
      <c r="H23" s="20"/>
      <c r="I23" s="8"/>
      <c r="J23" s="11"/>
      <c r="K23" s="11"/>
      <c r="L23" s="8"/>
      <c r="M23" s="8"/>
    </row>
    <row r="24" customFormat="false" ht="12.75" hidden="false" customHeight="false" outlineLevel="0" collapsed="false">
      <c r="A24" s="10"/>
      <c r="B24" s="10"/>
      <c r="C24" s="10" t="s">
        <v>18</v>
      </c>
      <c r="D24" s="8"/>
      <c r="E24" s="15" t="n">
        <f aca="false">SUM('3. Operating Expenses'!C16:H16)</f>
        <v>29500</v>
      </c>
      <c r="F24" s="16"/>
      <c r="G24" s="15"/>
      <c r="H24" s="8"/>
      <c r="I24" s="8"/>
      <c r="J24" s="11"/>
      <c r="K24" s="11"/>
      <c r="L24" s="8"/>
      <c r="M24" s="8"/>
    </row>
    <row r="25" customFormat="false" ht="14.65" hidden="false" customHeight="false" outlineLevel="0" collapsed="false">
      <c r="A25" s="10"/>
      <c r="B25" s="10"/>
      <c r="C25" s="10" t="s">
        <v>19</v>
      </c>
      <c r="D25" s="8"/>
      <c r="E25" s="15" t="n">
        <f aca="false">SUM(E21:E24)*0.35</f>
        <v>112743.26875</v>
      </c>
      <c r="F25" s="16"/>
      <c r="G25" s="21"/>
      <c r="H25" s="22"/>
      <c r="I25" s="8"/>
      <c r="J25" s="11"/>
      <c r="K25" s="11"/>
      <c r="L25" s="8"/>
      <c r="M25" s="8"/>
    </row>
    <row r="26" customFormat="false" ht="14.65" hidden="false" customHeight="false" outlineLevel="0" collapsed="false">
      <c r="A26" s="10"/>
      <c r="B26" s="10" t="s">
        <v>20</v>
      </c>
      <c r="C26" s="10"/>
      <c r="D26" s="8"/>
      <c r="E26" s="15" t="n">
        <f aca="false">SUM(E21:E25)</f>
        <v>434866.89375</v>
      </c>
      <c r="F26" s="15"/>
      <c r="G26" s="17"/>
      <c r="H26" s="20"/>
      <c r="I26" s="8"/>
      <c r="J26" s="11"/>
      <c r="K26" s="11"/>
      <c r="L26" s="8"/>
      <c r="M26" s="8"/>
    </row>
    <row r="27" customFormat="false" ht="14.65" hidden="false" customHeight="false" outlineLevel="0" collapsed="false">
      <c r="A27" s="10"/>
      <c r="B27" s="10"/>
      <c r="C27" s="10"/>
      <c r="D27" s="8"/>
      <c r="E27" s="15"/>
      <c r="F27" s="15"/>
      <c r="G27" s="21"/>
      <c r="H27" s="8"/>
      <c r="I27" s="8"/>
      <c r="J27" s="11"/>
      <c r="K27" s="11"/>
      <c r="L27" s="8"/>
      <c r="M27" s="8"/>
    </row>
    <row r="28" customFormat="false" ht="14.65" hidden="false" customHeight="false" outlineLevel="0" collapsed="false">
      <c r="A28" s="10" t="s">
        <v>21</v>
      </c>
      <c r="B28" s="10"/>
      <c r="C28" s="10"/>
      <c r="D28" s="8"/>
      <c r="E28" s="15"/>
      <c r="F28" s="15"/>
      <c r="G28" s="23" t="n">
        <f aca="false">E26+E18+E12</f>
        <v>481866.89375</v>
      </c>
      <c r="H28" s="8"/>
      <c r="I28" s="8"/>
      <c r="J28" s="11"/>
      <c r="K28" s="11"/>
      <c r="L28" s="8"/>
      <c r="M28" s="8"/>
    </row>
    <row r="34" customFormat="false" ht="14.65" hidden="false" customHeight="false" outlineLevel="0" collapsed="false"/>
    <row r="36" customFormat="false" ht="14.65" hidden="false" customHeight="false" outlineLevel="0" collapsed="false"/>
    <row r="37" customFormat="false" ht="15.8" hidden="false" customHeight="false" outlineLevel="0" collapsed="false"/>
    <row r="38" customFormat="false" ht="14.65" hidden="false" customHeight="false" outlineLevel="0" collapsed="false"/>
    <row r="39" customFormat="false" ht="14.65" hidden="false" customHeight="false" outlineLevel="0" collapsed="false"/>
    <row r="40" customFormat="false" ht="14.65" hidden="false" customHeight="false" outlineLevel="0" collapsed="false"/>
    <row r="41" customFormat="false" ht="14.65" hidden="false" customHeight="false" outlineLevel="0" collapsed="false"/>
    <row r="42" customFormat="false" ht="14.65" hidden="false" customHeight="false" outlineLevel="0" collapsed="false"/>
    <row r="43" customFormat="false" ht="14.65" hidden="false" customHeight="false" outlineLevel="0" collapsed="false"/>
    <row r="44" customFormat="false" ht="14.65" hidden="false" customHeight="false" outlineLevel="0" collapsed="false"/>
    <row r="45" customFormat="false" ht="14.65" hidden="false" customHeight="false" outlineLevel="0" collapsed="false"/>
    <row r="51" customFormat="false" ht="14.65" hidden="false" customHeight="false" outlineLevel="0" collapsed="false"/>
    <row r="53" customFormat="false" ht="14.65" hidden="false" customHeight="false" outlineLevel="0" collapsed="false"/>
    <row r="54" customFormat="false" ht="14.65" hidden="false" customHeight="false" outlineLevel="0" collapsed="false"/>
    <row r="55" customFormat="false" ht="14.65" hidden="false" customHeight="false" outlineLevel="0" collapsed="false"/>
    <row r="56" customFormat="false" ht="14.65" hidden="false" customHeight="false" outlineLevel="0" collapsed="false"/>
    <row r="58" customFormat="false" ht="14.65" hidden="false" customHeight="false" outlineLevel="0" collapsed="false"/>
    <row r="61" customFormat="false" ht="14.65" hidden="false" customHeight="false" outlineLevel="0" collapsed="false"/>
    <row r="62" customFormat="false" ht="14.65" hidden="false" customHeight="false" outlineLevel="0" collapsed="false"/>
    <row r="65" customFormat="false" ht="14.65" hidden="false" customHeight="false" outlineLevel="0" collapsed="false"/>
    <row r="69" customFormat="false" ht="14.65" hidden="false" customHeight="false" outlineLevel="0" collapsed="false"/>
    <row r="74" customFormat="false" ht="14.65" hidden="false" customHeight="false" outlineLevel="0" collapsed="false"/>
    <row r="75" customFormat="false" ht="14.65" hidden="false" customHeight="false" outlineLevel="0" collapsed="false"/>
    <row r="77" customFormat="false" ht="14.65" hidden="false" customHeight="false" outlineLevel="0" collapsed="false"/>
    <row r="78" customFormat="false" ht="14.65" hidden="false" customHeight="false" outlineLevel="0" collapsed="false"/>
  </sheetData>
  <printOptions headings="false" gridLines="false" gridLinesSet="true" horizontalCentered="false" verticalCentered="false"/>
  <pageMargins left="0.7875" right="0.7875" top="1.025" bottom="1.025" header="0.7875" footer="0.7875"/>
  <pageSetup paperSize="1" scale="100" firstPageNumber="1" fitToWidth="1" fitToHeight="1" pageOrder="downThenOver" orientation="portrait" usePrinterDefaults="false" blackAndWhite="false" draft="false" cellComments="none" useFirstPageNumber="true" horizontalDpi="300" verticalDpi="300" copies="1"/>
  <headerFooter differentFirst="false" differentOddEven="false">
    <oddHeader>&amp;C&amp;A</oddHeader>
    <oddFooter>&amp;CPage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Y44"/>
  <sheetViews>
    <sheetView windowProtection="true"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7" ySplit="0" topLeftCell="H1" activePane="topRight" state="frozen"/>
      <selection pane="topLeft" activeCell="A1" activeCellId="0" sqref="A1"/>
      <selection pane="topRight" activeCell="L14" activeCellId="0" sqref="L14"/>
    </sheetView>
  </sheetViews>
  <sheetFormatPr defaultRowHeight="13.45"/>
  <cols>
    <col collapsed="false" hidden="false" max="1" min="1" style="24" width="13.4744897959184"/>
    <col collapsed="false" hidden="false" max="2" min="2" style="24" width="10.8520408163265"/>
    <col collapsed="false" hidden="false" max="3" min="3" style="24" width="4.75"/>
    <col collapsed="false" hidden="false" max="4" min="4" style="24" width="18.0459183673469"/>
    <col collapsed="false" hidden="false" max="5" min="5" style="24" width="6.93877551020408"/>
    <col collapsed="false" hidden="false" max="6" min="6" style="24" width="10.3571428571429"/>
    <col collapsed="false" hidden="false" max="7" min="7" style="24" width="1.25"/>
    <col collapsed="false" hidden="false" max="11" min="8" style="24" width="10.6938775510204"/>
    <col collapsed="false" hidden="false" max="19" min="12" style="24" width="11.8775510204082"/>
    <col collapsed="false" hidden="false" max="20" min="20" style="25" width="13.7397959183673"/>
    <col collapsed="false" hidden="false" max="21" min="21" style="25" width="1.38775510204082"/>
    <col collapsed="false" hidden="false" max="23" min="22" style="24" width="11.9438775510204"/>
    <col collapsed="false" hidden="false" max="24" min="24" style="24" width="10.8520408163265"/>
    <col collapsed="false" hidden="false" max="25" min="25" style="24" width="11.3775510204082"/>
    <col collapsed="false" hidden="false" max="33" min="26" style="24" width="11.8775510204082"/>
    <col collapsed="false" hidden="false" max="34" min="34" style="24" width="14.7602040816327"/>
    <col collapsed="false" hidden="false" max="35" min="35" style="24" width="1.38775510204082"/>
    <col collapsed="false" hidden="false" max="47" min="36" style="24" width="11.8775510204082"/>
    <col collapsed="false" hidden="false" max="48" min="48" style="24" width="13.7397959183673"/>
    <col collapsed="false" hidden="false" max="259" min="49" style="24" width="10.8520408163265"/>
    <col collapsed="false" hidden="false" max="1025" min="260" style="26" width="10.8520408163265"/>
  </cols>
  <sheetData>
    <row r="1" s="33" customFormat="true" ht="19.35" hidden="false" customHeight="false" outlineLevel="0" collapsed="false">
      <c r="A1" s="27" t="s">
        <v>0</v>
      </c>
      <c r="B1" s="28"/>
      <c r="C1" s="29"/>
      <c r="D1" s="29"/>
      <c r="E1" s="29"/>
      <c r="F1" s="29"/>
      <c r="G1" s="29"/>
      <c r="H1" s="29"/>
      <c r="I1" s="30"/>
      <c r="J1" s="31"/>
      <c r="K1" s="31"/>
      <c r="L1" s="31"/>
      <c r="M1" s="31"/>
      <c r="N1" s="31"/>
      <c r="O1" s="31"/>
      <c r="P1" s="31"/>
      <c r="Q1" s="31"/>
      <c r="R1" s="31"/>
      <c r="S1" s="31"/>
      <c r="T1" s="32"/>
      <c r="U1" s="32"/>
      <c r="V1" s="29"/>
      <c r="W1" s="30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29"/>
      <c r="AI1" s="29"/>
      <c r="AJ1" s="29"/>
      <c r="AK1" s="30"/>
      <c r="AL1" s="31"/>
      <c r="AM1" s="31"/>
      <c r="AN1" s="31"/>
      <c r="AO1" s="31"/>
      <c r="AP1" s="31"/>
      <c r="AQ1" s="31"/>
      <c r="AR1" s="31"/>
      <c r="AS1" s="31"/>
      <c r="AT1" s="31"/>
      <c r="AU1" s="31"/>
      <c r="AV1" s="29"/>
      <c r="AW1" s="29"/>
      <c r="AX1" s="31"/>
      <c r="AY1" s="31"/>
      <c r="AZ1" s="31"/>
      <c r="BA1" s="31"/>
      <c r="BB1" s="31"/>
      <c r="BC1" s="31"/>
      <c r="BD1" s="31"/>
      <c r="BE1" s="31"/>
      <c r="BF1" s="31"/>
      <c r="BG1" s="31"/>
      <c r="BH1" s="31"/>
      <c r="BI1" s="31"/>
      <c r="BJ1" s="31"/>
      <c r="BK1" s="31"/>
      <c r="BL1" s="31"/>
      <c r="BM1" s="31"/>
      <c r="BN1" s="31"/>
      <c r="BO1" s="31"/>
      <c r="BP1" s="31"/>
      <c r="BQ1" s="31"/>
      <c r="BR1" s="31"/>
      <c r="BS1" s="31"/>
      <c r="BT1" s="31"/>
      <c r="BU1" s="31"/>
      <c r="BV1" s="31"/>
      <c r="BW1" s="31"/>
      <c r="BX1" s="31"/>
      <c r="BY1" s="31"/>
      <c r="BZ1" s="31"/>
      <c r="CA1" s="31"/>
      <c r="CB1" s="31"/>
      <c r="CC1" s="31"/>
      <c r="CD1" s="31"/>
      <c r="CE1" s="31"/>
      <c r="CF1" s="31"/>
      <c r="CG1" s="31"/>
      <c r="CH1" s="31"/>
      <c r="CI1" s="31"/>
      <c r="CJ1" s="31"/>
      <c r="CK1" s="31"/>
      <c r="CL1" s="31"/>
      <c r="CM1" s="31"/>
      <c r="CN1" s="31"/>
      <c r="CO1" s="31"/>
      <c r="CP1" s="31"/>
      <c r="CQ1" s="31"/>
      <c r="CR1" s="31"/>
      <c r="CS1" s="31"/>
      <c r="CT1" s="31"/>
      <c r="CU1" s="31"/>
      <c r="CV1" s="31"/>
      <c r="CW1" s="31"/>
      <c r="CX1" s="31"/>
      <c r="CY1" s="31"/>
      <c r="CZ1" s="31"/>
      <c r="DA1" s="31"/>
      <c r="DB1" s="31"/>
      <c r="DC1" s="31"/>
      <c r="DD1" s="31"/>
      <c r="DE1" s="31"/>
      <c r="DF1" s="31"/>
      <c r="DG1" s="31"/>
      <c r="DH1" s="31"/>
      <c r="DI1" s="31"/>
      <c r="DJ1" s="31"/>
      <c r="DK1" s="31"/>
      <c r="DL1" s="31"/>
      <c r="DM1" s="31"/>
      <c r="DN1" s="31"/>
      <c r="DO1" s="31"/>
      <c r="DP1" s="31"/>
      <c r="DQ1" s="31"/>
      <c r="DR1" s="31"/>
      <c r="DS1" s="31"/>
      <c r="DT1" s="31"/>
      <c r="DU1" s="31"/>
      <c r="DV1" s="31"/>
      <c r="DW1" s="31"/>
      <c r="DX1" s="31"/>
      <c r="DY1" s="31"/>
      <c r="DZ1" s="31"/>
      <c r="EA1" s="31"/>
      <c r="EB1" s="31"/>
      <c r="EC1" s="31"/>
      <c r="ED1" s="31"/>
      <c r="EE1" s="31"/>
      <c r="EF1" s="31"/>
      <c r="EG1" s="31"/>
      <c r="EH1" s="31"/>
      <c r="EI1" s="31"/>
      <c r="EJ1" s="31"/>
      <c r="EK1" s="31"/>
      <c r="EL1" s="31"/>
      <c r="EM1" s="31"/>
      <c r="EN1" s="31"/>
      <c r="EO1" s="31"/>
      <c r="EP1" s="31"/>
      <c r="EQ1" s="31"/>
      <c r="ER1" s="31"/>
      <c r="ES1" s="31"/>
      <c r="ET1" s="31"/>
      <c r="EU1" s="31"/>
      <c r="EV1" s="31"/>
      <c r="EW1" s="31"/>
      <c r="EX1" s="31"/>
      <c r="EY1" s="31"/>
      <c r="EZ1" s="31"/>
      <c r="FA1" s="31"/>
      <c r="FB1" s="31"/>
      <c r="FC1" s="31"/>
      <c r="FD1" s="31"/>
      <c r="FE1" s="31"/>
      <c r="FF1" s="31"/>
      <c r="FG1" s="31"/>
      <c r="FH1" s="31"/>
      <c r="FI1" s="31"/>
      <c r="FJ1" s="31"/>
      <c r="FK1" s="31"/>
      <c r="FL1" s="31"/>
      <c r="FM1" s="31"/>
      <c r="FN1" s="31"/>
      <c r="FO1" s="31"/>
      <c r="FP1" s="31"/>
      <c r="FQ1" s="31"/>
      <c r="FR1" s="31"/>
      <c r="FS1" s="31"/>
      <c r="FT1" s="31"/>
      <c r="FU1" s="31"/>
      <c r="FV1" s="31"/>
      <c r="FW1" s="31"/>
      <c r="FX1" s="31"/>
      <c r="FY1" s="31"/>
      <c r="FZ1" s="31"/>
      <c r="GA1" s="31"/>
      <c r="GB1" s="31"/>
      <c r="GC1" s="31"/>
      <c r="GD1" s="31"/>
      <c r="GE1" s="31"/>
      <c r="GF1" s="31"/>
      <c r="GG1" s="31"/>
      <c r="GH1" s="31"/>
      <c r="GI1" s="31"/>
      <c r="GJ1" s="31"/>
      <c r="GK1" s="31"/>
      <c r="GL1" s="31"/>
      <c r="GM1" s="31"/>
      <c r="GN1" s="31"/>
      <c r="GO1" s="31"/>
      <c r="GP1" s="31"/>
      <c r="GQ1" s="31"/>
      <c r="GR1" s="31"/>
      <c r="GS1" s="31"/>
      <c r="GT1" s="31"/>
      <c r="GU1" s="31"/>
      <c r="GV1" s="31"/>
      <c r="GW1" s="31"/>
      <c r="GX1" s="31"/>
      <c r="GY1" s="31"/>
      <c r="GZ1" s="31"/>
      <c r="HA1" s="31"/>
      <c r="HB1" s="31"/>
      <c r="HC1" s="31"/>
      <c r="HD1" s="31"/>
      <c r="HE1" s="31"/>
      <c r="HF1" s="31"/>
      <c r="HG1" s="31"/>
      <c r="HH1" s="31"/>
      <c r="HI1" s="31"/>
      <c r="HJ1" s="31"/>
      <c r="HK1" s="31"/>
      <c r="HL1" s="31"/>
      <c r="HM1" s="31"/>
      <c r="HN1" s="31"/>
      <c r="HO1" s="31"/>
      <c r="HP1" s="31"/>
      <c r="HQ1" s="31"/>
      <c r="HR1" s="31"/>
      <c r="HS1" s="31"/>
      <c r="HT1" s="31"/>
      <c r="HU1" s="31"/>
      <c r="HV1" s="31"/>
      <c r="HW1" s="31"/>
      <c r="HX1" s="31"/>
      <c r="HY1" s="31"/>
      <c r="HZ1" s="31"/>
      <c r="IA1" s="31"/>
      <c r="IB1" s="31"/>
      <c r="IC1" s="31"/>
      <c r="ID1" s="31"/>
      <c r="IE1" s="31"/>
      <c r="IF1" s="31"/>
      <c r="IG1" s="31"/>
      <c r="IH1" s="31"/>
      <c r="II1" s="31"/>
      <c r="IJ1" s="31"/>
      <c r="IK1" s="31"/>
      <c r="IL1" s="31"/>
      <c r="IM1" s="31"/>
      <c r="IN1" s="31"/>
      <c r="IO1" s="31"/>
      <c r="IP1" s="31"/>
      <c r="IQ1" s="31"/>
      <c r="IR1" s="31"/>
      <c r="IS1" s="31"/>
      <c r="IT1" s="31"/>
      <c r="IU1" s="31"/>
      <c r="IV1" s="31"/>
      <c r="IW1" s="31"/>
      <c r="IX1" s="31"/>
      <c r="IY1" s="31"/>
    </row>
    <row r="2" customFormat="false" ht="17.15" hidden="false" customHeight="true" outlineLevel="0" collapsed="false">
      <c r="A2" s="34" t="s">
        <v>22</v>
      </c>
      <c r="B2" s="29"/>
      <c r="C2" s="29"/>
      <c r="D2" s="29"/>
      <c r="E2" s="29"/>
      <c r="F2" s="29"/>
      <c r="G2" s="29"/>
      <c r="H2" s="29"/>
      <c r="I2" s="29"/>
      <c r="V2" s="29"/>
      <c r="W2" s="29"/>
      <c r="AH2" s="29"/>
      <c r="AI2" s="29"/>
      <c r="AJ2" s="29"/>
      <c r="AK2" s="29"/>
      <c r="AV2" s="29"/>
      <c r="AW2" s="29"/>
    </row>
    <row r="3" customFormat="false" ht="15.65" hidden="false" customHeight="true" outlineLevel="0" collapsed="false">
      <c r="A3" s="34" t="s">
        <v>23</v>
      </c>
      <c r="B3" s="29"/>
      <c r="C3" s="29"/>
      <c r="D3" s="29"/>
      <c r="E3" s="35"/>
      <c r="F3" s="36" t="s">
        <v>24</v>
      </c>
      <c r="G3" s="36"/>
      <c r="H3" s="37" t="s">
        <v>25</v>
      </c>
      <c r="I3" s="37" t="s">
        <v>26</v>
      </c>
      <c r="J3" s="37" t="s">
        <v>27</v>
      </c>
      <c r="K3" s="37" t="s">
        <v>28</v>
      </c>
      <c r="L3" s="37" t="s">
        <v>29</v>
      </c>
      <c r="M3" s="37" t="s">
        <v>30</v>
      </c>
      <c r="N3" s="37" t="s">
        <v>31</v>
      </c>
      <c r="O3" s="37" t="s">
        <v>32</v>
      </c>
      <c r="P3" s="37" t="s">
        <v>33</v>
      </c>
      <c r="Q3" s="37" t="s">
        <v>34</v>
      </c>
      <c r="R3" s="37" t="s">
        <v>35</v>
      </c>
      <c r="S3" s="37" t="s">
        <v>36</v>
      </c>
      <c r="T3" s="38" t="s">
        <v>37</v>
      </c>
      <c r="U3" s="39"/>
      <c r="V3" s="37" t="s">
        <v>25</v>
      </c>
      <c r="W3" s="37" t="s">
        <v>26</v>
      </c>
      <c r="X3" s="37" t="s">
        <v>27</v>
      </c>
      <c r="Y3" s="37" t="s">
        <v>28</v>
      </c>
      <c r="Z3" s="37" t="s">
        <v>29</v>
      </c>
      <c r="AA3" s="37" t="s">
        <v>30</v>
      </c>
      <c r="AB3" s="37" t="s">
        <v>31</v>
      </c>
      <c r="AC3" s="37" t="s">
        <v>32</v>
      </c>
      <c r="AD3" s="37" t="s">
        <v>33</v>
      </c>
      <c r="AE3" s="37" t="s">
        <v>34</v>
      </c>
      <c r="AF3" s="37" t="s">
        <v>35</v>
      </c>
      <c r="AG3" s="37" t="s">
        <v>36</v>
      </c>
      <c r="AH3" s="36" t="s">
        <v>38</v>
      </c>
      <c r="AI3" s="36"/>
      <c r="AJ3" s="37" t="s">
        <v>25</v>
      </c>
      <c r="AK3" s="37" t="s">
        <v>26</v>
      </c>
      <c r="AL3" s="37" t="s">
        <v>27</v>
      </c>
      <c r="AM3" s="37" t="s">
        <v>28</v>
      </c>
      <c r="AN3" s="37" t="s">
        <v>29</v>
      </c>
      <c r="AO3" s="37" t="s">
        <v>30</v>
      </c>
      <c r="AP3" s="37" t="s">
        <v>31</v>
      </c>
      <c r="AQ3" s="37" t="s">
        <v>32</v>
      </c>
      <c r="AR3" s="37" t="s">
        <v>33</v>
      </c>
      <c r="AS3" s="37" t="s">
        <v>34</v>
      </c>
      <c r="AT3" s="37" t="s">
        <v>35</v>
      </c>
      <c r="AU3" s="37" t="s">
        <v>36</v>
      </c>
      <c r="AV3" s="36" t="s">
        <v>39</v>
      </c>
      <c r="AW3" s="29"/>
      <c r="AX3" s="37"/>
      <c r="AY3" s="37"/>
      <c r="AZ3" s="37"/>
      <c r="BA3" s="37"/>
      <c r="BB3" s="37"/>
      <c r="BC3" s="37"/>
      <c r="BD3" s="37"/>
      <c r="BE3" s="37"/>
      <c r="BF3" s="37"/>
      <c r="BG3" s="37"/>
      <c r="BH3" s="37"/>
      <c r="BI3" s="37"/>
      <c r="BJ3" s="37"/>
      <c r="BK3" s="37"/>
      <c r="BL3" s="37"/>
      <c r="BM3" s="37"/>
      <c r="BN3" s="37"/>
      <c r="BO3" s="37"/>
      <c r="BP3" s="37"/>
      <c r="BQ3" s="37"/>
      <c r="BR3" s="37"/>
      <c r="BS3" s="37"/>
      <c r="BT3" s="37"/>
      <c r="BU3" s="37"/>
    </row>
    <row r="4" customFormat="false" ht="13.45" hidden="false" customHeight="false" outlineLevel="0" collapsed="false">
      <c r="A4" s="29"/>
      <c r="B4" s="29"/>
      <c r="C4" s="29"/>
      <c r="D4" s="29"/>
      <c r="E4" s="29"/>
      <c r="F4" s="29"/>
      <c r="G4" s="29"/>
      <c r="H4" s="29"/>
      <c r="I4" s="29"/>
      <c r="V4" s="29"/>
      <c r="W4" s="29"/>
      <c r="AH4" s="29"/>
      <c r="AI4" s="29"/>
      <c r="AJ4" s="29"/>
      <c r="AK4" s="29"/>
      <c r="AV4" s="29"/>
      <c r="AW4" s="29"/>
    </row>
    <row r="5" customFormat="false" ht="13.45" hidden="false" customHeight="false" outlineLevel="0" collapsed="false">
      <c r="A5" s="34" t="s">
        <v>22</v>
      </c>
      <c r="B5" s="29"/>
      <c r="C5" s="29"/>
      <c r="D5" s="29"/>
      <c r="E5" s="40"/>
      <c r="F5" s="40"/>
      <c r="G5" s="40"/>
      <c r="H5" s="29"/>
      <c r="I5" s="29"/>
      <c r="V5" s="29"/>
      <c r="W5" s="29"/>
      <c r="AH5" s="40"/>
      <c r="AI5" s="40"/>
      <c r="AJ5" s="29"/>
      <c r="AK5" s="29"/>
      <c r="AV5" s="40"/>
      <c r="AW5" s="40"/>
    </row>
    <row r="6" customFormat="false" ht="13.45" hidden="false" customHeight="false" outlineLevel="0" collapsed="false">
      <c r="A6" s="29"/>
      <c r="B6" s="34"/>
      <c r="C6" s="29"/>
      <c r="D6" s="29"/>
      <c r="E6" s="40"/>
      <c r="F6" s="40"/>
      <c r="G6" s="40"/>
      <c r="H6" s="29"/>
      <c r="I6" s="29"/>
      <c r="V6" s="29"/>
      <c r="W6" s="29"/>
      <c r="AH6" s="40"/>
      <c r="AI6" s="40"/>
      <c r="AJ6" s="29"/>
      <c r="AK6" s="29"/>
      <c r="AV6" s="40"/>
      <c r="AW6" s="40"/>
    </row>
    <row r="7" s="44" customFormat="true" ht="3.75" hidden="false" customHeight="true" outlineLevel="0" collapsed="false">
      <c r="A7" s="41"/>
      <c r="B7" s="42"/>
      <c r="C7" s="41"/>
      <c r="D7" s="41"/>
      <c r="E7" s="43"/>
      <c r="F7" s="43"/>
      <c r="G7" s="43"/>
      <c r="H7" s="41"/>
      <c r="I7" s="41"/>
      <c r="T7" s="45"/>
      <c r="U7" s="45"/>
      <c r="V7" s="41"/>
      <c r="W7" s="41"/>
      <c r="AH7" s="43"/>
      <c r="AI7" s="43"/>
      <c r="AJ7" s="41"/>
      <c r="AK7" s="41"/>
      <c r="AV7" s="43"/>
      <c r="AW7" s="43"/>
    </row>
    <row r="8" s="24" customFormat="true" ht="14.9" hidden="false" customHeight="true" outlineLevel="0" collapsed="false">
      <c r="A8" s="29"/>
      <c r="B8" s="34" t="s">
        <v>40</v>
      </c>
      <c r="C8" s="29"/>
      <c r="D8" s="29"/>
      <c r="E8" s="40"/>
      <c r="F8" s="40"/>
      <c r="G8" s="40"/>
      <c r="H8" s="29" t="n">
        <v>0</v>
      </c>
      <c r="I8" s="29" t="n">
        <v>0</v>
      </c>
      <c r="J8" s="24" t="n">
        <v>0</v>
      </c>
      <c r="K8" s="24" t="n">
        <v>0</v>
      </c>
      <c r="L8" s="24" t="n">
        <v>0</v>
      </c>
      <c r="M8" s="24" t="n">
        <v>0</v>
      </c>
      <c r="N8" s="24" t="n">
        <v>1</v>
      </c>
      <c r="O8" s="24" t="n">
        <v>1</v>
      </c>
      <c r="P8" s="24" t="n">
        <v>1</v>
      </c>
      <c r="Q8" s="24" t="n">
        <v>1</v>
      </c>
      <c r="R8" s="24" t="n">
        <v>1</v>
      </c>
      <c r="S8" s="24" t="n">
        <v>1</v>
      </c>
      <c r="T8" s="25"/>
      <c r="U8" s="25"/>
      <c r="V8" s="29" t="n">
        <v>1</v>
      </c>
      <c r="W8" s="29" t="n">
        <v>1</v>
      </c>
      <c r="X8" s="24" t="n">
        <v>1</v>
      </c>
      <c r="Y8" s="24" t="n">
        <v>1</v>
      </c>
      <c r="Z8" s="24" t="n">
        <v>1</v>
      </c>
      <c r="AA8" s="24" t="n">
        <v>1</v>
      </c>
      <c r="AB8" s="24" t="n">
        <v>1</v>
      </c>
      <c r="AC8" s="24" t="n">
        <v>1</v>
      </c>
      <c r="AD8" s="24" t="n">
        <v>1</v>
      </c>
      <c r="AE8" s="24" t="n">
        <v>1</v>
      </c>
      <c r="AF8" s="24" t="n">
        <v>2</v>
      </c>
      <c r="AG8" s="24" t="n">
        <v>2</v>
      </c>
      <c r="AH8" s="40"/>
      <c r="AI8" s="40"/>
      <c r="AJ8" s="29"/>
      <c r="AK8" s="29"/>
      <c r="AV8" s="40"/>
      <c r="AW8" s="40"/>
    </row>
    <row r="9" s="24" customFormat="true" ht="14.9" hidden="false" customHeight="true" outlineLevel="0" collapsed="false">
      <c r="A9" s="29"/>
      <c r="B9" s="34" t="s">
        <v>41</v>
      </c>
      <c r="C9" s="29"/>
      <c r="D9" s="29"/>
      <c r="E9" s="40"/>
      <c r="F9" s="46" t="n">
        <v>300000</v>
      </c>
      <c r="G9" s="40"/>
      <c r="H9" s="25" t="n">
        <f aca="false">H8*$F9/12</f>
        <v>0</v>
      </c>
      <c r="I9" s="25" t="n">
        <f aca="false">I8*$F9/12</f>
        <v>0</v>
      </c>
      <c r="J9" s="25" t="n">
        <f aca="false">J8*$F9/12</f>
        <v>0</v>
      </c>
      <c r="K9" s="25" t="n">
        <f aca="false">K8*$F9/12</f>
        <v>0</v>
      </c>
      <c r="L9" s="25" t="n">
        <f aca="false">L8*$F9/12</f>
        <v>0</v>
      </c>
      <c r="M9" s="25" t="n">
        <f aca="false">M8*$F9/12</f>
        <v>0</v>
      </c>
      <c r="N9" s="25" t="n">
        <f aca="false">N8*$F9/12</f>
        <v>25000</v>
      </c>
      <c r="O9" s="25" t="n">
        <f aca="false">O8*$F9/12</f>
        <v>25000</v>
      </c>
      <c r="P9" s="25" t="n">
        <f aca="false">P8*$F9/12</f>
        <v>25000</v>
      </c>
      <c r="Q9" s="25" t="n">
        <f aca="false">Q8*$F9/12</f>
        <v>25000</v>
      </c>
      <c r="R9" s="25" t="n">
        <f aca="false">R8*$F9/12</f>
        <v>25000</v>
      </c>
      <c r="S9" s="25" t="n">
        <f aca="false">S8*$F9/12</f>
        <v>25000</v>
      </c>
      <c r="T9" s="25" t="n">
        <f aca="false">SUM(H9:S9)</f>
        <v>150000</v>
      </c>
      <c r="U9" s="25"/>
      <c r="V9" s="25" t="n">
        <f aca="false">V8*$F9/12</f>
        <v>25000</v>
      </c>
      <c r="W9" s="25" t="n">
        <f aca="false">W8*$F9/12</f>
        <v>25000</v>
      </c>
      <c r="X9" s="25" t="n">
        <f aca="false">X8*$F9/12</f>
        <v>25000</v>
      </c>
      <c r="Y9" s="25" t="n">
        <f aca="false">Y8*$F9/12</f>
        <v>25000</v>
      </c>
      <c r="Z9" s="25" t="n">
        <f aca="false">Z8*$F9/12</f>
        <v>25000</v>
      </c>
      <c r="AA9" s="25" t="n">
        <f aca="false">AA8*$F9/12</f>
        <v>25000</v>
      </c>
      <c r="AB9" s="25" t="n">
        <f aca="false">AB8*$F9/12</f>
        <v>25000</v>
      </c>
      <c r="AC9" s="25" t="n">
        <f aca="false">AC8*$F9/12</f>
        <v>25000</v>
      </c>
      <c r="AD9" s="25" t="n">
        <f aca="false">AD8*$F9/12</f>
        <v>25000</v>
      </c>
      <c r="AE9" s="25" t="n">
        <f aca="false">AE8*$F9/12</f>
        <v>25000</v>
      </c>
      <c r="AF9" s="25" t="n">
        <f aca="false">AF8*$F9/12</f>
        <v>50000</v>
      </c>
      <c r="AG9" s="25" t="n">
        <f aca="false">AG8*$F9/12</f>
        <v>50000</v>
      </c>
      <c r="AH9" s="25" t="n">
        <f aca="false">SUM(V9:AG9)</f>
        <v>350000</v>
      </c>
      <c r="AI9" s="25"/>
      <c r="AJ9" s="29"/>
      <c r="AK9" s="29"/>
      <c r="AV9" s="40"/>
      <c r="AW9" s="40"/>
    </row>
    <row r="10" s="24" customFormat="true" ht="3.6" hidden="false" customHeight="true" outlineLevel="0" collapsed="false">
      <c r="A10" s="29"/>
      <c r="B10" s="34"/>
      <c r="C10" s="29"/>
      <c r="D10" s="29"/>
      <c r="E10" s="40"/>
      <c r="F10" s="46"/>
      <c r="G10" s="40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9"/>
      <c r="AK10" s="29"/>
      <c r="AV10" s="40"/>
      <c r="AW10" s="40"/>
    </row>
    <row r="11" customFormat="false" ht="13.45" hidden="false" customHeight="false" outlineLevel="0" collapsed="false">
      <c r="A11" s="29"/>
      <c r="B11" s="34" t="s">
        <v>42</v>
      </c>
      <c r="C11" s="29"/>
      <c r="D11" s="29"/>
      <c r="E11" s="40"/>
      <c r="F11" s="40"/>
      <c r="G11" s="40"/>
      <c r="H11" s="29" t="n">
        <v>0</v>
      </c>
      <c r="I11" s="29" t="n">
        <v>0</v>
      </c>
      <c r="J11" s="24" t="n">
        <v>0</v>
      </c>
      <c r="K11" s="24" t="n">
        <v>1</v>
      </c>
      <c r="L11" s="24" t="n">
        <v>1</v>
      </c>
      <c r="M11" s="24" t="n">
        <v>1</v>
      </c>
      <c r="N11" s="24" t="n">
        <v>1</v>
      </c>
      <c r="O11" s="24" t="n">
        <v>1</v>
      </c>
      <c r="P11" s="24" t="n">
        <v>2</v>
      </c>
      <c r="Q11" s="24" t="n">
        <v>3</v>
      </c>
      <c r="R11" s="24" t="n">
        <v>3</v>
      </c>
      <c r="S11" s="24" t="n">
        <v>4</v>
      </c>
      <c r="V11" s="29" t="n">
        <f aca="false">S11</f>
        <v>4</v>
      </c>
      <c r="W11" s="29" t="n">
        <f aca="false">V11+1</f>
        <v>5</v>
      </c>
      <c r="X11" s="29" t="n">
        <f aca="false">W11</f>
        <v>5</v>
      </c>
      <c r="Y11" s="29" t="n">
        <f aca="false">X11</f>
        <v>5</v>
      </c>
      <c r="Z11" s="29" t="n">
        <f aca="false">Y11</f>
        <v>5</v>
      </c>
      <c r="AA11" s="29" t="n">
        <f aca="false">Z11+1</f>
        <v>6</v>
      </c>
      <c r="AB11" s="29" t="n">
        <f aca="false">AA11</f>
        <v>6</v>
      </c>
      <c r="AC11" s="29" t="n">
        <f aca="false">AB11</f>
        <v>6</v>
      </c>
      <c r="AD11" s="29" t="n">
        <f aca="false">AC11+2</f>
        <v>8</v>
      </c>
      <c r="AE11" s="29" t="n">
        <f aca="false">AD11</f>
        <v>8</v>
      </c>
      <c r="AF11" s="29" t="n">
        <f aca="false">AE11</f>
        <v>8</v>
      </c>
      <c r="AG11" s="29" t="n">
        <f aca="false">AF11</f>
        <v>8</v>
      </c>
      <c r="AH11" s="25"/>
      <c r="AI11" s="25"/>
      <c r="AJ11" s="29" t="n">
        <f aca="false">AG11</f>
        <v>8</v>
      </c>
      <c r="AK11" s="29" t="n">
        <f aca="false">AJ11+1</f>
        <v>9</v>
      </c>
      <c r="AL11" s="29" t="n">
        <f aca="false">AK11</f>
        <v>9</v>
      </c>
      <c r="AM11" s="29" t="n">
        <f aca="false">AL11</f>
        <v>9</v>
      </c>
      <c r="AN11" s="29" t="n">
        <f aca="false">AM11</f>
        <v>9</v>
      </c>
      <c r="AO11" s="29" t="n">
        <f aca="false">AN11+1</f>
        <v>10</v>
      </c>
      <c r="AP11" s="29" t="n">
        <f aca="false">AO11</f>
        <v>10</v>
      </c>
      <c r="AQ11" s="29" t="n">
        <f aca="false">AP11</f>
        <v>10</v>
      </c>
      <c r="AR11" s="29" t="n">
        <f aca="false">AQ11</f>
        <v>10</v>
      </c>
      <c r="AS11" s="29" t="n">
        <f aca="false">AR11</f>
        <v>10</v>
      </c>
      <c r="AT11" s="29" t="n">
        <f aca="false">AS11</f>
        <v>10</v>
      </c>
      <c r="AU11" s="29" t="n">
        <f aca="false">AT11</f>
        <v>10</v>
      </c>
      <c r="AV11" s="25"/>
      <c r="AW11" s="40"/>
    </row>
    <row r="12" customFormat="false" ht="13.45" hidden="false" customHeight="false" outlineLevel="0" collapsed="false">
      <c r="A12" s="29"/>
      <c r="B12" s="34" t="s">
        <v>43</v>
      </c>
      <c r="C12" s="29"/>
      <c r="D12" s="29"/>
      <c r="E12" s="40"/>
      <c r="F12" s="46" t="n">
        <v>175000</v>
      </c>
      <c r="G12" s="40"/>
      <c r="H12" s="25" t="n">
        <f aca="false">H11*$F12/12</f>
        <v>0</v>
      </c>
      <c r="I12" s="25" t="n">
        <f aca="false">I11*$F12/12</f>
        <v>0</v>
      </c>
      <c r="J12" s="25" t="n">
        <f aca="false">J11*$F12/12</f>
        <v>0</v>
      </c>
      <c r="K12" s="25" t="n">
        <f aca="false">K11*$F12/12</f>
        <v>14583.3333333333</v>
      </c>
      <c r="L12" s="25" t="n">
        <f aca="false">L11*$F12/12</f>
        <v>14583.3333333333</v>
      </c>
      <c r="M12" s="25" t="n">
        <f aca="false">M11*$F12/12</f>
        <v>14583.3333333333</v>
      </c>
      <c r="N12" s="25" t="n">
        <f aca="false">N11*$F12/12</f>
        <v>14583.3333333333</v>
      </c>
      <c r="O12" s="25" t="n">
        <f aca="false">O11*$F12/12</f>
        <v>14583.3333333333</v>
      </c>
      <c r="P12" s="25" t="n">
        <f aca="false">P11*$F12/12</f>
        <v>29166.6666666667</v>
      </c>
      <c r="Q12" s="25" t="n">
        <f aca="false">Q11*$F12/12</f>
        <v>43750</v>
      </c>
      <c r="R12" s="25" t="n">
        <f aca="false">R11*$F12/12</f>
        <v>43750</v>
      </c>
      <c r="S12" s="25" t="n">
        <f aca="false">S11*$F12/12</f>
        <v>58333.3333333333</v>
      </c>
      <c r="T12" s="25" t="n">
        <f aca="false">SUM(H12:S12)</f>
        <v>247916.666666667</v>
      </c>
      <c r="V12" s="25" t="n">
        <f aca="false">V11*$F12/12</f>
        <v>58333.3333333333</v>
      </c>
      <c r="W12" s="25" t="n">
        <f aca="false">W11*$F12/12</f>
        <v>72916.6666666667</v>
      </c>
      <c r="X12" s="25" t="n">
        <f aca="false">X11*$F12/12</f>
        <v>72916.6666666667</v>
      </c>
      <c r="Y12" s="25" t="n">
        <f aca="false">Y11*$F12/12</f>
        <v>72916.6666666667</v>
      </c>
      <c r="Z12" s="25" t="n">
        <f aca="false">Z11*$F12/12</f>
        <v>72916.6666666667</v>
      </c>
      <c r="AA12" s="25" t="n">
        <f aca="false">AA11*$F12/12</f>
        <v>87500</v>
      </c>
      <c r="AB12" s="25" t="n">
        <f aca="false">AB11*$F12/12</f>
        <v>87500</v>
      </c>
      <c r="AC12" s="25" t="n">
        <f aca="false">AC11*$F12/12</f>
        <v>87500</v>
      </c>
      <c r="AD12" s="25" t="n">
        <f aca="false">AD11*$F12/12</f>
        <v>116666.666666667</v>
      </c>
      <c r="AE12" s="25" t="n">
        <f aca="false">AE11*$F12/12</f>
        <v>116666.666666667</v>
      </c>
      <c r="AF12" s="25" t="n">
        <f aca="false">AF11*$F12/12</f>
        <v>116666.666666667</v>
      </c>
      <c r="AG12" s="25" t="n">
        <f aca="false">AG11*$F12/12</f>
        <v>116666.666666667</v>
      </c>
      <c r="AH12" s="25" t="n">
        <f aca="false">SUM(V12:AG12)</f>
        <v>1079166.66666667</v>
      </c>
      <c r="AI12" s="25"/>
      <c r="AJ12" s="25" t="n">
        <f aca="false">AJ11*$F12/12</f>
        <v>116666.666666667</v>
      </c>
      <c r="AK12" s="25" t="n">
        <f aca="false">AK11*$F12/12</f>
        <v>131250</v>
      </c>
      <c r="AL12" s="25" t="n">
        <f aca="false">AL11*$F12/12</f>
        <v>131250</v>
      </c>
      <c r="AM12" s="25" t="n">
        <f aca="false">AM11*$F12/12</f>
        <v>131250</v>
      </c>
      <c r="AN12" s="25" t="n">
        <f aca="false">AN11*$F12/12</f>
        <v>131250</v>
      </c>
      <c r="AO12" s="25" t="n">
        <f aca="false">AO11*$F12/12</f>
        <v>145833.333333333</v>
      </c>
      <c r="AP12" s="25" t="n">
        <f aca="false">AP11*$F12/12</f>
        <v>145833.333333333</v>
      </c>
      <c r="AQ12" s="25" t="n">
        <f aca="false">AQ11*$F12/12</f>
        <v>145833.333333333</v>
      </c>
      <c r="AR12" s="25" t="n">
        <f aca="false">AR11*$F12/12</f>
        <v>145833.333333333</v>
      </c>
      <c r="AS12" s="25" t="n">
        <f aca="false">AS11*$F12/12</f>
        <v>145833.333333333</v>
      </c>
      <c r="AT12" s="25" t="n">
        <f aca="false">AT11*$F12/12</f>
        <v>145833.333333333</v>
      </c>
      <c r="AU12" s="25" t="n">
        <f aca="false">AU11*$F12/12</f>
        <v>145833.333333333</v>
      </c>
      <c r="AV12" s="25" t="n">
        <f aca="false">SUM(AJ12:AU12)</f>
        <v>1662500</v>
      </c>
      <c r="AW12" s="40"/>
    </row>
    <row r="13" customFormat="false" ht="3" hidden="false" customHeight="true" outlineLevel="0" collapsed="false">
      <c r="A13" s="29"/>
      <c r="B13" s="34"/>
      <c r="C13" s="29"/>
      <c r="D13" s="29"/>
      <c r="E13" s="40"/>
      <c r="F13" s="40"/>
      <c r="G13" s="40"/>
      <c r="H13" s="29"/>
      <c r="I13" s="29"/>
      <c r="V13" s="29"/>
      <c r="W13" s="29"/>
      <c r="AH13" s="25"/>
      <c r="AI13" s="25"/>
      <c r="AJ13" s="29"/>
      <c r="AK13" s="29"/>
      <c r="AV13" s="25"/>
      <c r="AW13" s="40"/>
    </row>
    <row r="14" customFormat="false" ht="13.45" hidden="false" customHeight="false" outlineLevel="0" collapsed="false">
      <c r="A14" s="29"/>
      <c r="B14" s="34" t="s">
        <v>44</v>
      </c>
      <c r="C14" s="29"/>
      <c r="D14" s="29"/>
      <c r="E14" s="40"/>
      <c r="F14" s="40"/>
      <c r="G14" s="40"/>
      <c r="H14" s="29" t="n">
        <v>1</v>
      </c>
      <c r="I14" s="29" t="n">
        <v>1</v>
      </c>
      <c r="J14" s="24" t="n">
        <v>1</v>
      </c>
      <c r="K14" s="29" t="n">
        <v>1</v>
      </c>
      <c r="L14" s="29" t="n">
        <v>1</v>
      </c>
      <c r="M14" s="24" t="n">
        <v>1</v>
      </c>
      <c r="N14" s="29" t="n">
        <v>2</v>
      </c>
      <c r="O14" s="29" t="n">
        <v>4</v>
      </c>
      <c r="P14" s="29" t="n">
        <f aca="false">O14+1</f>
        <v>5</v>
      </c>
      <c r="Q14" s="29" t="n">
        <f aca="false">P14</f>
        <v>5</v>
      </c>
      <c r="R14" s="29" t="n">
        <f aca="false">Q14+2</f>
        <v>7</v>
      </c>
      <c r="S14" s="29" t="n">
        <f aca="false">R14</f>
        <v>7</v>
      </c>
      <c r="V14" s="29" t="n">
        <f aca="false">S14</f>
        <v>7</v>
      </c>
      <c r="W14" s="29" t="n">
        <f aca="false">V14+1</f>
        <v>8</v>
      </c>
      <c r="X14" s="24" t="n">
        <f aca="false">W14+1</f>
        <v>9</v>
      </c>
      <c r="Y14" s="29" t="n">
        <f aca="false">X14+1</f>
        <v>10</v>
      </c>
      <c r="Z14" s="29" t="n">
        <f aca="false">Y14</f>
        <v>10</v>
      </c>
      <c r="AA14" s="24" t="n">
        <f aca="false">Z14</f>
        <v>10</v>
      </c>
      <c r="AB14" s="29" t="n">
        <f aca="false">AA14+2</f>
        <v>12</v>
      </c>
      <c r="AC14" s="29" t="n">
        <f aca="false">AB14</f>
        <v>12</v>
      </c>
      <c r="AD14" s="24" t="n">
        <f aca="false">AC14+1</f>
        <v>13</v>
      </c>
      <c r="AE14" s="29" t="n">
        <f aca="false">AD14</f>
        <v>13</v>
      </c>
      <c r="AF14" s="29" t="n">
        <f aca="false">AE14+2</f>
        <v>15</v>
      </c>
      <c r="AG14" s="24" t="n">
        <f aca="false">AF14</f>
        <v>15</v>
      </c>
      <c r="AH14" s="25"/>
      <c r="AI14" s="25"/>
      <c r="AJ14" s="29" t="n">
        <f aca="false">AG14+1</f>
        <v>16</v>
      </c>
      <c r="AK14" s="29" t="n">
        <f aca="false">AJ14</f>
        <v>16</v>
      </c>
      <c r="AL14" s="29" t="n">
        <f aca="false">AK14+0.5</f>
        <v>16.5</v>
      </c>
      <c r="AM14" s="29" t="n">
        <f aca="false">AL14+0.5</f>
        <v>17</v>
      </c>
      <c r="AN14" s="29" t="n">
        <f aca="false">AM14+1</f>
        <v>18</v>
      </c>
      <c r="AO14" s="29" t="n">
        <f aca="false">AN14+1</f>
        <v>19</v>
      </c>
      <c r="AP14" s="29" t="n">
        <f aca="false">AO14</f>
        <v>19</v>
      </c>
      <c r="AQ14" s="29" t="n">
        <f aca="false">AP14+1</f>
        <v>20</v>
      </c>
      <c r="AR14" s="29" t="n">
        <f aca="false">AQ14</f>
        <v>20</v>
      </c>
      <c r="AS14" s="29" t="n">
        <f aca="false">AR14+2</f>
        <v>22</v>
      </c>
      <c r="AT14" s="29" t="n">
        <f aca="false">AS14</f>
        <v>22</v>
      </c>
      <c r="AU14" s="29" t="n">
        <f aca="false">AT14+1</f>
        <v>23</v>
      </c>
      <c r="AV14" s="25"/>
      <c r="AW14" s="40"/>
    </row>
    <row r="15" customFormat="false" ht="13.45" hidden="false" customHeight="false" outlineLevel="0" collapsed="false">
      <c r="A15" s="29"/>
      <c r="B15" s="34" t="s">
        <v>45</v>
      </c>
      <c r="C15" s="29"/>
      <c r="D15" s="29"/>
      <c r="E15" s="40"/>
      <c r="F15" s="46" t="n">
        <v>125000</v>
      </c>
      <c r="G15" s="40"/>
      <c r="H15" s="25" t="n">
        <f aca="false">H14*$F15/12</f>
        <v>10416.6666666667</v>
      </c>
      <c r="I15" s="25" t="n">
        <f aca="false">I14*$F15/12</f>
        <v>10416.6666666667</v>
      </c>
      <c r="J15" s="25" t="n">
        <f aca="false">J14*$F15/12</f>
        <v>10416.6666666667</v>
      </c>
      <c r="K15" s="25" t="n">
        <f aca="false">K14*$F15/12</f>
        <v>10416.6666666667</v>
      </c>
      <c r="L15" s="25" t="n">
        <f aca="false">L14*$F15/12</f>
        <v>10416.6666666667</v>
      </c>
      <c r="M15" s="25" t="n">
        <f aca="false">M14*$F15/12</f>
        <v>10416.6666666667</v>
      </c>
      <c r="N15" s="25" t="n">
        <f aca="false">N14*$F15/12</f>
        <v>20833.3333333333</v>
      </c>
      <c r="O15" s="25" t="n">
        <f aca="false">O14*$F15/12</f>
        <v>41666.6666666667</v>
      </c>
      <c r="P15" s="25" t="n">
        <f aca="false">P14*$F15/12</f>
        <v>52083.3333333333</v>
      </c>
      <c r="Q15" s="25" t="n">
        <f aca="false">Q14*$F15/12</f>
        <v>52083.3333333333</v>
      </c>
      <c r="R15" s="25" t="n">
        <f aca="false">R14*$F15/12</f>
        <v>72916.6666666667</v>
      </c>
      <c r="S15" s="25" t="n">
        <f aca="false">S14*$F15/12</f>
        <v>72916.6666666667</v>
      </c>
      <c r="T15" s="25" t="n">
        <f aca="false">SUM(H15:S15)</f>
        <v>375000</v>
      </c>
      <c r="V15" s="25" t="n">
        <f aca="false">V14*$F15/12</f>
        <v>72916.6666666667</v>
      </c>
      <c r="W15" s="25" t="n">
        <f aca="false">W14*$F15/12</f>
        <v>83333.3333333333</v>
      </c>
      <c r="X15" s="25" t="n">
        <f aca="false">X14*$F15/12</f>
        <v>93750</v>
      </c>
      <c r="Y15" s="25" t="n">
        <f aca="false">Y14*$F15/12</f>
        <v>104166.666666667</v>
      </c>
      <c r="Z15" s="25" t="n">
        <f aca="false">Z14*$F15/12</f>
        <v>104166.666666667</v>
      </c>
      <c r="AA15" s="25" t="n">
        <f aca="false">AA14*$F15/12</f>
        <v>104166.666666667</v>
      </c>
      <c r="AB15" s="25" t="n">
        <f aca="false">AB14*$F15/12</f>
        <v>125000</v>
      </c>
      <c r="AC15" s="25" t="n">
        <f aca="false">AC14*$F15/12</f>
        <v>125000</v>
      </c>
      <c r="AD15" s="25" t="n">
        <f aca="false">AD14*$F15/12</f>
        <v>135416.666666667</v>
      </c>
      <c r="AE15" s="25" t="n">
        <f aca="false">AE14*$F15/12</f>
        <v>135416.666666667</v>
      </c>
      <c r="AF15" s="25" t="n">
        <f aca="false">AF14*$F15/12</f>
        <v>156250</v>
      </c>
      <c r="AG15" s="25" t="n">
        <f aca="false">AG14*$F15/12</f>
        <v>156250</v>
      </c>
      <c r="AH15" s="25" t="n">
        <f aca="false">SUM(V15:AG15)</f>
        <v>1395833.33333333</v>
      </c>
      <c r="AI15" s="25"/>
      <c r="AJ15" s="25" t="n">
        <f aca="false">AJ14*$F15/12</f>
        <v>166666.666666667</v>
      </c>
      <c r="AK15" s="25" t="n">
        <f aca="false">AK14*$F15/12</f>
        <v>166666.666666667</v>
      </c>
      <c r="AL15" s="25" t="n">
        <f aca="false">AL14*$F15/12</f>
        <v>171875</v>
      </c>
      <c r="AM15" s="25" t="n">
        <f aca="false">AM14*$F15/12</f>
        <v>177083.333333333</v>
      </c>
      <c r="AN15" s="25" t="n">
        <f aca="false">AN14*$F15/12</f>
        <v>187500</v>
      </c>
      <c r="AO15" s="25" t="n">
        <f aca="false">AO14*$F15/12</f>
        <v>197916.666666667</v>
      </c>
      <c r="AP15" s="25" t="n">
        <f aca="false">AP14*$F15/12</f>
        <v>197916.666666667</v>
      </c>
      <c r="AQ15" s="25" t="n">
        <f aca="false">AQ14*$F15/12</f>
        <v>208333.333333333</v>
      </c>
      <c r="AR15" s="25" t="n">
        <f aca="false">AR14*$F15/12</f>
        <v>208333.333333333</v>
      </c>
      <c r="AS15" s="25" t="n">
        <f aca="false">AS14*$F15/12</f>
        <v>229166.666666667</v>
      </c>
      <c r="AT15" s="25" t="n">
        <f aca="false">AT14*$F15/12</f>
        <v>229166.666666667</v>
      </c>
      <c r="AU15" s="25" t="n">
        <f aca="false">AU14*$F15/12</f>
        <v>239583.333333333</v>
      </c>
      <c r="AV15" s="25" t="n">
        <f aca="false">SUM(AJ15:AU15)</f>
        <v>2380208.33333333</v>
      </c>
      <c r="AW15" s="40"/>
    </row>
    <row r="16" customFormat="false" ht="3" hidden="false" customHeight="true" outlineLevel="0" collapsed="false">
      <c r="A16" s="29"/>
      <c r="B16" s="34"/>
      <c r="C16" s="29"/>
      <c r="D16" s="29"/>
      <c r="E16" s="40"/>
      <c r="F16" s="40"/>
      <c r="G16" s="40"/>
      <c r="H16" s="29"/>
      <c r="I16" s="29"/>
      <c r="V16" s="29"/>
      <c r="W16" s="29"/>
      <c r="AH16" s="25"/>
      <c r="AI16" s="25"/>
      <c r="AJ16" s="29"/>
      <c r="AK16" s="29"/>
      <c r="AV16" s="25"/>
      <c r="AW16" s="40"/>
    </row>
    <row r="17" customFormat="false" ht="13.45" hidden="false" customHeight="false" outlineLevel="0" collapsed="false">
      <c r="A17" s="29"/>
      <c r="B17" s="34" t="s">
        <v>46</v>
      </c>
      <c r="C17" s="29"/>
      <c r="D17" s="29"/>
      <c r="E17" s="40"/>
      <c r="F17" s="40"/>
      <c r="G17" s="40"/>
      <c r="H17" s="29" t="n">
        <v>0</v>
      </c>
      <c r="I17" s="29" t="n">
        <v>1</v>
      </c>
      <c r="J17" s="29" t="n">
        <v>2</v>
      </c>
      <c r="K17" s="29" t="n">
        <v>1</v>
      </c>
      <c r="L17" s="29" t="n">
        <v>1</v>
      </c>
      <c r="M17" s="29" t="n">
        <f aca="false">L17+1</f>
        <v>2</v>
      </c>
      <c r="N17" s="29" t="n">
        <f aca="false">M17</f>
        <v>2</v>
      </c>
      <c r="O17" s="24" t="n">
        <f aca="false">N17+1</f>
        <v>3</v>
      </c>
      <c r="P17" s="24" t="n">
        <f aca="false">O17</f>
        <v>3</v>
      </c>
      <c r="Q17" s="24" t="n">
        <f aca="false">P17+1</f>
        <v>4</v>
      </c>
      <c r="R17" s="24" t="n">
        <v>4</v>
      </c>
      <c r="S17" s="24" t="n">
        <v>4</v>
      </c>
      <c r="V17" s="29" t="n">
        <f aca="false">S17+1</f>
        <v>5</v>
      </c>
      <c r="W17" s="29" t="n">
        <f aca="false">V17+1</f>
        <v>6</v>
      </c>
      <c r="X17" s="29" t="n">
        <f aca="false">W17+1</f>
        <v>7</v>
      </c>
      <c r="Y17" s="29" t="n">
        <f aca="false">X17+1</f>
        <v>8</v>
      </c>
      <c r="Z17" s="29" t="n">
        <f aca="false">Y17+2</f>
        <v>10</v>
      </c>
      <c r="AA17" s="29" t="n">
        <f aca="false">Z17+1</f>
        <v>11</v>
      </c>
      <c r="AB17" s="29" t="n">
        <f aca="false">AA17+1</f>
        <v>12</v>
      </c>
      <c r="AC17" s="29" t="n">
        <f aca="false">AB17+1</f>
        <v>13</v>
      </c>
      <c r="AD17" s="29" t="n">
        <f aca="false">AC17+1</f>
        <v>14</v>
      </c>
      <c r="AE17" s="29" t="n">
        <f aca="false">AD17+1</f>
        <v>15</v>
      </c>
      <c r="AF17" s="29" t="n">
        <f aca="false">AE17+1</f>
        <v>16</v>
      </c>
      <c r="AG17" s="29" t="n">
        <f aca="false">AF17+1</f>
        <v>17</v>
      </c>
      <c r="AH17" s="25"/>
      <c r="AI17" s="25"/>
      <c r="AJ17" s="29" t="n">
        <f aca="false">AG17</f>
        <v>17</v>
      </c>
      <c r="AK17" s="29" t="n">
        <f aca="false">AJ17+3</f>
        <v>20</v>
      </c>
      <c r="AL17" s="29" t="n">
        <f aca="false">AK17+1</f>
        <v>21</v>
      </c>
      <c r="AM17" s="29" t="n">
        <f aca="false">AL17+1</f>
        <v>22</v>
      </c>
      <c r="AN17" s="29" t="n">
        <f aca="false">AM17+2</f>
        <v>24</v>
      </c>
      <c r="AO17" s="29" t="n">
        <f aca="false">AN17</f>
        <v>24</v>
      </c>
      <c r="AP17" s="29" t="n">
        <f aca="false">AO17+2</f>
        <v>26</v>
      </c>
      <c r="AQ17" s="29" t="n">
        <f aca="false">AP17</f>
        <v>26</v>
      </c>
      <c r="AR17" s="29" t="n">
        <f aca="false">AQ17+2</f>
        <v>28</v>
      </c>
      <c r="AS17" s="29" t="n">
        <f aca="false">AR17</f>
        <v>28</v>
      </c>
      <c r="AT17" s="29" t="n">
        <f aca="false">AS17+2</f>
        <v>30</v>
      </c>
      <c r="AU17" s="29" t="n">
        <f aca="false">AT17</f>
        <v>30</v>
      </c>
      <c r="AV17" s="25"/>
      <c r="AW17" s="40"/>
    </row>
    <row r="18" customFormat="false" ht="13.45" hidden="false" customHeight="false" outlineLevel="0" collapsed="false">
      <c r="A18" s="29"/>
      <c r="B18" s="34" t="s">
        <v>47</v>
      </c>
      <c r="C18" s="29"/>
      <c r="D18" s="29"/>
      <c r="E18" s="40"/>
      <c r="F18" s="46" t="n">
        <v>90000</v>
      </c>
      <c r="G18" s="40"/>
      <c r="H18" s="25" t="n">
        <f aca="false">H17*$F18/12</f>
        <v>0</v>
      </c>
      <c r="I18" s="25" t="n">
        <f aca="false">I17*$F18/12</f>
        <v>7500</v>
      </c>
      <c r="J18" s="25" t="n">
        <f aca="false">J17*$F18/12</f>
        <v>15000</v>
      </c>
      <c r="K18" s="25" t="n">
        <f aca="false">K17*$F18/12</f>
        <v>7500</v>
      </c>
      <c r="L18" s="25" t="n">
        <f aca="false">L17*$F18/12</f>
        <v>7500</v>
      </c>
      <c r="M18" s="25" t="n">
        <f aca="false">M17*$F18/12</f>
        <v>15000</v>
      </c>
      <c r="N18" s="25" t="n">
        <f aca="false">N17*$F18/12</f>
        <v>15000</v>
      </c>
      <c r="O18" s="25" t="n">
        <f aca="false">O17*$F18/12</f>
        <v>22500</v>
      </c>
      <c r="P18" s="25" t="n">
        <f aca="false">P17*$F18/12</f>
        <v>22500</v>
      </c>
      <c r="Q18" s="25" t="n">
        <f aca="false">Q17*$F18/12</f>
        <v>30000</v>
      </c>
      <c r="R18" s="25" t="n">
        <f aca="false">R17*$F18/12</f>
        <v>30000</v>
      </c>
      <c r="S18" s="25" t="n">
        <f aca="false">S17*$F18/12</f>
        <v>30000</v>
      </c>
      <c r="T18" s="25" t="n">
        <f aca="false">SUM(H18:S18)</f>
        <v>202500</v>
      </c>
      <c r="V18" s="25" t="n">
        <f aca="false">V17*$F18/12</f>
        <v>37500</v>
      </c>
      <c r="W18" s="25" t="n">
        <f aca="false">W17*$F18/12</f>
        <v>45000</v>
      </c>
      <c r="X18" s="25" t="n">
        <f aca="false">X17*$F18/12</f>
        <v>52500</v>
      </c>
      <c r="Y18" s="25" t="n">
        <f aca="false">Y17*$F18/12</f>
        <v>60000</v>
      </c>
      <c r="Z18" s="25" t="n">
        <f aca="false">Z17*$F18/12</f>
        <v>75000</v>
      </c>
      <c r="AA18" s="25" t="n">
        <f aca="false">AA17*$F18/12</f>
        <v>82500</v>
      </c>
      <c r="AB18" s="25" t="n">
        <f aca="false">AB17*$F18/12</f>
        <v>90000</v>
      </c>
      <c r="AC18" s="25" t="n">
        <f aca="false">AC17*$F18/12</f>
        <v>97500</v>
      </c>
      <c r="AD18" s="25" t="n">
        <f aca="false">AD17*$F18/12</f>
        <v>105000</v>
      </c>
      <c r="AE18" s="25" t="n">
        <f aca="false">AE17*$F18/12</f>
        <v>112500</v>
      </c>
      <c r="AF18" s="25" t="n">
        <f aca="false">AF17*$F18/12</f>
        <v>120000</v>
      </c>
      <c r="AG18" s="25" t="n">
        <f aca="false">AG17*$F18/12</f>
        <v>127500</v>
      </c>
      <c r="AH18" s="25" t="n">
        <f aca="false">SUM(V18:AG18)</f>
        <v>1005000</v>
      </c>
      <c r="AI18" s="25"/>
      <c r="AJ18" s="25" t="n">
        <f aca="false">AJ17*$F18/12</f>
        <v>127500</v>
      </c>
      <c r="AK18" s="25" t="n">
        <f aca="false">AK17*$F18/12</f>
        <v>150000</v>
      </c>
      <c r="AL18" s="25" t="n">
        <f aca="false">AL17*$F18/12</f>
        <v>157500</v>
      </c>
      <c r="AM18" s="25" t="n">
        <f aca="false">AM17*$F18/12</f>
        <v>165000</v>
      </c>
      <c r="AN18" s="25" t="n">
        <f aca="false">AN17*$F18/12</f>
        <v>180000</v>
      </c>
      <c r="AO18" s="25" t="n">
        <f aca="false">AO17*$F18/12</f>
        <v>180000</v>
      </c>
      <c r="AP18" s="25" t="n">
        <f aca="false">AP17*$F18/12</f>
        <v>195000</v>
      </c>
      <c r="AQ18" s="25" t="n">
        <f aca="false">AQ17*$F18/12</f>
        <v>195000</v>
      </c>
      <c r="AR18" s="25" t="n">
        <f aca="false">AR17*$F18/12</f>
        <v>210000</v>
      </c>
      <c r="AS18" s="25" t="n">
        <f aca="false">AS17*$F18/12</f>
        <v>210000</v>
      </c>
      <c r="AT18" s="25" t="n">
        <f aca="false">AT17*$F18/12</f>
        <v>225000</v>
      </c>
      <c r="AU18" s="25" t="n">
        <f aca="false">AU17*$F18/12</f>
        <v>225000</v>
      </c>
      <c r="AV18" s="25" t="n">
        <f aca="false">SUM(AJ18:AU18)</f>
        <v>2220000</v>
      </c>
      <c r="AW18" s="40"/>
    </row>
    <row r="19" customFormat="false" ht="3" hidden="false" customHeight="true" outlineLevel="0" collapsed="false">
      <c r="A19" s="29"/>
      <c r="B19" s="34"/>
      <c r="C19" s="29"/>
      <c r="D19" s="29"/>
      <c r="E19" s="40"/>
      <c r="F19" s="40"/>
      <c r="G19" s="40"/>
      <c r="H19" s="29"/>
      <c r="I19" s="29"/>
      <c r="V19" s="29"/>
      <c r="W19" s="29"/>
      <c r="AH19" s="25"/>
      <c r="AI19" s="25"/>
      <c r="AJ19" s="29"/>
      <c r="AK19" s="29"/>
      <c r="AV19" s="25"/>
      <c r="AW19" s="40"/>
    </row>
    <row r="20" customFormat="false" ht="13.45" hidden="false" customHeight="false" outlineLevel="0" collapsed="false">
      <c r="A20" s="29"/>
      <c r="B20" s="34" t="s">
        <v>48</v>
      </c>
      <c r="C20" s="29"/>
      <c r="D20" s="29"/>
      <c r="E20" s="40"/>
      <c r="F20" s="40"/>
      <c r="G20" s="40"/>
      <c r="H20" s="29" t="n">
        <v>0</v>
      </c>
      <c r="I20" s="29" t="n">
        <v>0</v>
      </c>
      <c r="J20" s="29" t="n">
        <v>1</v>
      </c>
      <c r="K20" s="29" t="n">
        <f aca="false">J20</f>
        <v>1</v>
      </c>
      <c r="L20" s="29" t="n">
        <v>1</v>
      </c>
      <c r="M20" s="29" t="n">
        <f aca="false">L20</f>
        <v>1</v>
      </c>
      <c r="N20" s="29" t="n">
        <f aca="false">M20+1</f>
        <v>2</v>
      </c>
      <c r="O20" s="29" t="n">
        <f aca="false">N20+1</f>
        <v>3</v>
      </c>
      <c r="P20" s="24" t="n">
        <f aca="false">O20</f>
        <v>3</v>
      </c>
      <c r="Q20" s="24" t="n">
        <f aca="false">P20+1</f>
        <v>4</v>
      </c>
      <c r="R20" s="24" t="n">
        <f aca="false">Q20</f>
        <v>4</v>
      </c>
      <c r="S20" s="24" t="n">
        <f aca="false">R20+1</f>
        <v>5</v>
      </c>
      <c r="V20" s="29" t="n">
        <f aca="false">S20</f>
        <v>5</v>
      </c>
      <c r="W20" s="29" t="n">
        <f aca="false">V20</f>
        <v>5</v>
      </c>
      <c r="X20" s="29" t="n">
        <f aca="false">W20+2</f>
        <v>7</v>
      </c>
      <c r="Y20" s="29" t="n">
        <f aca="false">X20+1</f>
        <v>8</v>
      </c>
      <c r="Z20" s="29" t="n">
        <f aca="false">Y20</f>
        <v>8</v>
      </c>
      <c r="AA20" s="29" t="n">
        <f aca="false">Z20</f>
        <v>8</v>
      </c>
      <c r="AB20" s="29" t="n">
        <f aca="false">AA20</f>
        <v>8</v>
      </c>
      <c r="AC20" s="29" t="n">
        <f aca="false">AB20+2</f>
        <v>10</v>
      </c>
      <c r="AD20" s="29" t="n">
        <f aca="false">AC20+1</f>
        <v>11</v>
      </c>
      <c r="AE20" s="24" t="n">
        <f aca="false">AD20+1</f>
        <v>12</v>
      </c>
      <c r="AF20" s="24" t="n">
        <f aca="false">AE20</f>
        <v>12</v>
      </c>
      <c r="AG20" s="24" t="n">
        <f aca="false">AF20</f>
        <v>12</v>
      </c>
      <c r="AH20" s="25"/>
      <c r="AI20" s="25"/>
      <c r="AJ20" s="29" t="n">
        <f aca="false">AG20+2</f>
        <v>14</v>
      </c>
      <c r="AK20" s="29" t="n">
        <f aca="false">AJ20</f>
        <v>14</v>
      </c>
      <c r="AL20" s="29" t="n">
        <f aca="false">AK20</f>
        <v>14</v>
      </c>
      <c r="AM20" s="29" t="n">
        <f aca="false">AL20</f>
        <v>14</v>
      </c>
      <c r="AN20" s="29" t="n">
        <f aca="false">AM20+1</f>
        <v>15</v>
      </c>
      <c r="AO20" s="29" t="n">
        <f aca="false">AN20</f>
        <v>15</v>
      </c>
      <c r="AP20" s="29" t="n">
        <f aca="false">AO20+1</f>
        <v>16</v>
      </c>
      <c r="AQ20" s="29" t="n">
        <f aca="false">AP20</f>
        <v>16</v>
      </c>
      <c r="AR20" s="24" t="n">
        <f aca="false">AQ20</f>
        <v>16</v>
      </c>
      <c r="AS20" s="24" t="n">
        <f aca="false">AR20+1</f>
        <v>17</v>
      </c>
      <c r="AT20" s="24" t="n">
        <f aca="false">AS20</f>
        <v>17</v>
      </c>
      <c r="AU20" s="24" t="n">
        <f aca="false">AT20</f>
        <v>17</v>
      </c>
      <c r="AV20" s="25"/>
      <c r="AW20" s="40"/>
    </row>
    <row r="21" customFormat="false" ht="13.45" hidden="false" customHeight="false" outlineLevel="0" collapsed="false">
      <c r="A21" s="29"/>
      <c r="B21" s="34" t="s">
        <v>49</v>
      </c>
      <c r="C21" s="29"/>
      <c r="D21" s="29"/>
      <c r="E21" s="40"/>
      <c r="F21" s="46" t="n">
        <v>60000</v>
      </c>
      <c r="G21" s="40"/>
      <c r="H21" s="25" t="n">
        <f aca="false">H20*$F21/12</f>
        <v>0</v>
      </c>
      <c r="I21" s="25" t="n">
        <f aca="false">I20*$F21/12</f>
        <v>0</v>
      </c>
      <c r="J21" s="25" t="n">
        <f aca="false">J20*$F21/12</f>
        <v>5000</v>
      </c>
      <c r="K21" s="25" t="n">
        <f aca="false">K20*$F21/12</f>
        <v>5000</v>
      </c>
      <c r="L21" s="25" t="n">
        <f aca="false">L20*$F21/12</f>
        <v>5000</v>
      </c>
      <c r="M21" s="25" t="n">
        <f aca="false">M20*$F21/12</f>
        <v>5000</v>
      </c>
      <c r="N21" s="25" t="n">
        <f aca="false">N20*$F21/12</f>
        <v>10000</v>
      </c>
      <c r="O21" s="25" t="n">
        <f aca="false">O20*$F21/12</f>
        <v>15000</v>
      </c>
      <c r="P21" s="25" t="n">
        <f aca="false">P20*$F21/12</f>
        <v>15000</v>
      </c>
      <c r="Q21" s="25" t="n">
        <f aca="false">Q20*$F21/12</f>
        <v>20000</v>
      </c>
      <c r="R21" s="25" t="n">
        <f aca="false">R20*$F21/12</f>
        <v>20000</v>
      </c>
      <c r="S21" s="25" t="n">
        <f aca="false">S20*$F21/12</f>
        <v>25000</v>
      </c>
      <c r="T21" s="25" t="n">
        <f aca="false">SUM(H21:S21)</f>
        <v>125000</v>
      </c>
      <c r="V21" s="25" t="n">
        <f aca="false">V20*$F21/12</f>
        <v>25000</v>
      </c>
      <c r="W21" s="25" t="n">
        <f aca="false">W20*$F21/12</f>
        <v>25000</v>
      </c>
      <c r="X21" s="25" t="n">
        <f aca="false">X20*$F21/12</f>
        <v>35000</v>
      </c>
      <c r="Y21" s="25" t="n">
        <f aca="false">Y20*$F21/12</f>
        <v>40000</v>
      </c>
      <c r="Z21" s="25" t="n">
        <f aca="false">Z20*$F21/12</f>
        <v>40000</v>
      </c>
      <c r="AA21" s="25" t="n">
        <f aca="false">AA20*$F21/12</f>
        <v>40000</v>
      </c>
      <c r="AB21" s="25" t="n">
        <f aca="false">AB20*$F21/12</f>
        <v>40000</v>
      </c>
      <c r="AC21" s="25" t="n">
        <f aca="false">AC20*$F21/12</f>
        <v>50000</v>
      </c>
      <c r="AD21" s="25" t="n">
        <f aca="false">AD20*$F21/12</f>
        <v>55000</v>
      </c>
      <c r="AE21" s="25" t="n">
        <f aca="false">AE20*$F21/12</f>
        <v>60000</v>
      </c>
      <c r="AF21" s="25" t="n">
        <f aca="false">AF20*$F21/12</f>
        <v>60000</v>
      </c>
      <c r="AG21" s="25" t="n">
        <f aca="false">AG20*$F21/12</f>
        <v>60000</v>
      </c>
      <c r="AH21" s="25" t="n">
        <f aca="false">SUM(V21:AG21)</f>
        <v>530000</v>
      </c>
      <c r="AI21" s="25"/>
      <c r="AJ21" s="25" t="n">
        <f aca="false">AJ20*$F21/12</f>
        <v>70000</v>
      </c>
      <c r="AK21" s="25" t="n">
        <f aca="false">AK20*$F21/12</f>
        <v>70000</v>
      </c>
      <c r="AL21" s="25" t="n">
        <f aca="false">AL20*$F21/12</f>
        <v>70000</v>
      </c>
      <c r="AM21" s="25" t="n">
        <f aca="false">AM20*$F21/12</f>
        <v>70000</v>
      </c>
      <c r="AN21" s="25" t="n">
        <f aca="false">AN20*$F21/12</f>
        <v>75000</v>
      </c>
      <c r="AO21" s="25" t="n">
        <f aca="false">AO20*$F21/12</f>
        <v>75000</v>
      </c>
      <c r="AP21" s="25" t="n">
        <f aca="false">AP20*$F21/12</f>
        <v>80000</v>
      </c>
      <c r="AQ21" s="25" t="n">
        <f aca="false">AQ20*$F21/12</f>
        <v>80000</v>
      </c>
      <c r="AR21" s="25" t="n">
        <f aca="false">AR20*$F21/12</f>
        <v>80000</v>
      </c>
      <c r="AS21" s="25" t="n">
        <f aca="false">AS20*$F21/12</f>
        <v>85000</v>
      </c>
      <c r="AT21" s="25" t="n">
        <f aca="false">AT20*$F21/12</f>
        <v>85000</v>
      </c>
      <c r="AU21" s="25" t="n">
        <f aca="false">AU20*$F21/12</f>
        <v>85000</v>
      </c>
      <c r="AV21" s="25" t="n">
        <f aca="false">SUM(AJ21:AU21)</f>
        <v>925000</v>
      </c>
      <c r="AW21" s="40"/>
    </row>
    <row r="22" customFormat="false" ht="13.45" hidden="false" customHeight="false" outlineLevel="0" collapsed="false">
      <c r="A22" s="29"/>
      <c r="B22" s="34"/>
      <c r="C22" s="29"/>
      <c r="D22" s="29"/>
      <c r="E22" s="40"/>
      <c r="F22" s="40"/>
      <c r="G22" s="40"/>
      <c r="H22" s="29"/>
      <c r="I22" s="29"/>
      <c r="V22" s="29"/>
      <c r="W22" s="29"/>
      <c r="AH22" s="25"/>
      <c r="AI22" s="25"/>
      <c r="AJ22" s="29"/>
      <c r="AK22" s="29"/>
      <c r="AV22" s="25"/>
      <c r="AW22" s="40"/>
    </row>
    <row r="23" customFormat="false" ht="13.45" hidden="false" customHeight="false" outlineLevel="0" collapsed="false">
      <c r="A23" s="29"/>
      <c r="B23" s="34"/>
      <c r="C23" s="29"/>
      <c r="D23" s="29"/>
      <c r="E23" s="40"/>
      <c r="F23" s="40"/>
      <c r="G23" s="40"/>
      <c r="H23" s="29"/>
      <c r="I23" s="29"/>
      <c r="V23" s="29"/>
      <c r="W23" s="29"/>
      <c r="AH23" s="25"/>
      <c r="AI23" s="25"/>
      <c r="AJ23" s="29"/>
      <c r="AK23" s="29"/>
      <c r="AV23" s="25"/>
      <c r="AW23" s="40"/>
    </row>
    <row r="24" customFormat="false" ht="13.45" hidden="false" customHeight="false" outlineLevel="0" collapsed="false">
      <c r="A24" s="34" t="s">
        <v>50</v>
      </c>
      <c r="B24" s="34"/>
      <c r="C24" s="29"/>
      <c r="D24" s="29"/>
      <c r="E24" s="40"/>
      <c r="F24" s="40"/>
      <c r="G24" s="40"/>
      <c r="H24" s="29" t="n">
        <f aca="false">H11+H14+H17+H20</f>
        <v>1</v>
      </c>
      <c r="I24" s="29" t="n">
        <f aca="false">I11+I14+I17+I20</f>
        <v>2</v>
      </c>
      <c r="J24" s="29" t="n">
        <f aca="false">J11+J14+J17+J20</f>
        <v>4</v>
      </c>
      <c r="K24" s="29" t="n">
        <f aca="false">K11+K14+K17+K20</f>
        <v>4</v>
      </c>
      <c r="L24" s="29" t="n">
        <f aca="false">L11+L14+L17+L20</f>
        <v>4</v>
      </c>
      <c r="M24" s="29" t="n">
        <f aca="false">M11+M14+M17+M20</f>
        <v>5</v>
      </c>
      <c r="N24" s="29" t="n">
        <f aca="false">N11+N14+N17+N20</f>
        <v>7</v>
      </c>
      <c r="O24" s="29" t="n">
        <f aca="false">O11+O14+O17+O20</f>
        <v>11</v>
      </c>
      <c r="P24" s="29" t="n">
        <f aca="false">P11+P14+P17+P20</f>
        <v>13</v>
      </c>
      <c r="Q24" s="29" t="n">
        <f aca="false">Q11+Q14+Q17+Q20</f>
        <v>16</v>
      </c>
      <c r="R24" s="29" t="n">
        <f aca="false">R11+R14+R17+R20</f>
        <v>18</v>
      </c>
      <c r="S24" s="29" t="n">
        <f aca="false">S11+S14+S17+S20</f>
        <v>20</v>
      </c>
      <c r="T24" s="47" t="n">
        <f aca="false">S24</f>
        <v>20</v>
      </c>
      <c r="U24" s="47"/>
      <c r="V24" s="29" t="n">
        <f aca="false">V11+V14+V17+V20</f>
        <v>21</v>
      </c>
      <c r="W24" s="29" t="n">
        <f aca="false">W11+W14+W17+W20</f>
        <v>24</v>
      </c>
      <c r="X24" s="29" t="n">
        <f aca="false">X11+X14+X17+X20</f>
        <v>28</v>
      </c>
      <c r="Y24" s="29" t="n">
        <f aca="false">Y11+Y14+Y17+Y20</f>
        <v>31</v>
      </c>
      <c r="Z24" s="29" t="n">
        <f aca="false">Z11+Z14+Z17+Z20</f>
        <v>33</v>
      </c>
      <c r="AA24" s="29" t="n">
        <f aca="false">AA11+AA14+AA17+AA20</f>
        <v>35</v>
      </c>
      <c r="AB24" s="29" t="n">
        <f aca="false">AB11+AB14+AB17+AB20</f>
        <v>38</v>
      </c>
      <c r="AC24" s="29" t="n">
        <f aca="false">AC11+AC14+AC17+AC20</f>
        <v>41</v>
      </c>
      <c r="AD24" s="29" t="n">
        <f aca="false">AD11+AD14+AD17+AD20</f>
        <v>46</v>
      </c>
      <c r="AE24" s="29" t="n">
        <f aca="false">AE11+AE14+AE17+AE20</f>
        <v>48</v>
      </c>
      <c r="AF24" s="29" t="n">
        <f aca="false">AF11+AF14+AF17+AF20</f>
        <v>51</v>
      </c>
      <c r="AG24" s="29" t="n">
        <f aca="false">AG11+AG14+AG17+AG20</f>
        <v>52</v>
      </c>
      <c r="AH24" s="47" t="n">
        <f aca="false">AG24</f>
        <v>52</v>
      </c>
      <c r="AI24" s="47"/>
      <c r="AJ24" s="29" t="n">
        <f aca="false">AJ11+AJ14+AJ17+AJ20</f>
        <v>55</v>
      </c>
      <c r="AK24" s="29" t="n">
        <f aca="false">AK11+AK14+AK17+AK20</f>
        <v>59</v>
      </c>
      <c r="AL24" s="29" t="n">
        <f aca="false">AL11+AL14+AL17+AL20</f>
        <v>60.5</v>
      </c>
      <c r="AM24" s="29" t="n">
        <f aca="false">AM11+AM14+AM17+AM20</f>
        <v>62</v>
      </c>
      <c r="AN24" s="29" t="n">
        <f aca="false">AN11+AN14+AN17+AN20</f>
        <v>66</v>
      </c>
      <c r="AO24" s="29" t="n">
        <f aca="false">AO11+AO14+AO17+AO20</f>
        <v>68</v>
      </c>
      <c r="AP24" s="29" t="n">
        <f aca="false">AP11+AP14+AP17+AP20</f>
        <v>71</v>
      </c>
      <c r="AQ24" s="29" t="n">
        <f aca="false">AQ11+AQ14+AQ17+AQ20</f>
        <v>72</v>
      </c>
      <c r="AR24" s="29" t="n">
        <f aca="false">AR11+AR14+AR17+AR20</f>
        <v>74</v>
      </c>
      <c r="AS24" s="29" t="n">
        <f aca="false">AS11+AS14+AS17+AS20</f>
        <v>77</v>
      </c>
      <c r="AT24" s="29" t="n">
        <f aca="false">AT11+AT14+AT17+AT20</f>
        <v>79</v>
      </c>
      <c r="AU24" s="29" t="n">
        <f aca="false">AU11+AU14+AU17+AU20</f>
        <v>80</v>
      </c>
      <c r="AV24" s="47" t="n">
        <f aca="false">AU24</f>
        <v>80</v>
      </c>
      <c r="AW24" s="40"/>
    </row>
    <row r="25" customFormat="false" ht="13.45" hidden="false" customHeight="false" outlineLevel="0" collapsed="false">
      <c r="A25" s="34" t="s">
        <v>51</v>
      </c>
      <c r="B25" s="29"/>
      <c r="C25" s="29"/>
      <c r="D25" s="29"/>
      <c r="E25" s="40"/>
      <c r="F25" s="40"/>
      <c r="G25" s="40"/>
      <c r="H25" s="25" t="n">
        <f aca="false">H9+H12+H15+H18+H21</f>
        <v>10416.6666666667</v>
      </c>
      <c r="I25" s="25" t="n">
        <f aca="false">I9+I12+I15+I18+I21</f>
        <v>17916.6666666667</v>
      </c>
      <c r="J25" s="25" t="n">
        <f aca="false">J9+J12+J15+J18+J21</f>
        <v>30416.6666666667</v>
      </c>
      <c r="K25" s="25" t="n">
        <f aca="false">K9+K12+K15+K18+K21</f>
        <v>37500</v>
      </c>
      <c r="L25" s="25" t="n">
        <f aca="false">L9+L12+L15+L18+L21</f>
        <v>37500</v>
      </c>
      <c r="M25" s="25" t="n">
        <f aca="false">M9+M12+M15+M18+M21</f>
        <v>45000</v>
      </c>
      <c r="N25" s="25" t="n">
        <f aca="false">N9+N12+N15+N18+N21</f>
        <v>85416.6666666667</v>
      </c>
      <c r="O25" s="25" t="n">
        <f aca="false">O9+O12+O15+O18+O21</f>
        <v>118750</v>
      </c>
      <c r="P25" s="25" t="n">
        <f aca="false">P9+P12+P15+P18+P21</f>
        <v>143750</v>
      </c>
      <c r="Q25" s="25" t="n">
        <f aca="false">Q9+Q12+Q15+Q18+Q21</f>
        <v>170833.333333333</v>
      </c>
      <c r="R25" s="25" t="n">
        <f aca="false">R9+R12+R15+R18+R21</f>
        <v>191666.666666667</v>
      </c>
      <c r="S25" s="25" t="n">
        <f aca="false">S9+S12+S15+S18+S21</f>
        <v>211250</v>
      </c>
      <c r="T25" s="25" t="n">
        <f aca="false">SUM(H25:S25)</f>
        <v>1100416.66666667</v>
      </c>
      <c r="V25" s="25" t="n">
        <f aca="false">V12+V15+V18+V21</f>
        <v>193750</v>
      </c>
      <c r="W25" s="25" t="n">
        <f aca="false">W12+W15+W18+W21</f>
        <v>226250</v>
      </c>
      <c r="X25" s="25" t="n">
        <f aca="false">X12+X15+X18+X21</f>
        <v>254166.666666667</v>
      </c>
      <c r="Y25" s="25" t="n">
        <f aca="false">Y12+Y15+Y18+Y21</f>
        <v>277083.333333333</v>
      </c>
      <c r="Z25" s="25" t="n">
        <f aca="false">Z12+Z15+Z18+Z21</f>
        <v>292083.333333333</v>
      </c>
      <c r="AA25" s="25" t="n">
        <f aca="false">AA12+AA15+AA18+AA21</f>
        <v>314166.666666667</v>
      </c>
      <c r="AB25" s="25" t="n">
        <f aca="false">AB12+AB15+AB18+AB21</f>
        <v>342500</v>
      </c>
      <c r="AC25" s="25" t="n">
        <f aca="false">AC12+AC15+AC18+AC21</f>
        <v>360000</v>
      </c>
      <c r="AD25" s="25" t="n">
        <f aca="false">AD12+AD15+AD18+AD21</f>
        <v>412083.333333333</v>
      </c>
      <c r="AE25" s="25" t="n">
        <f aca="false">AE12+AE15+AE18+AE21</f>
        <v>424583.333333333</v>
      </c>
      <c r="AF25" s="25" t="n">
        <f aca="false">AF12+AF15+AF18+AF21</f>
        <v>452916.666666667</v>
      </c>
      <c r="AG25" s="25" t="n">
        <f aca="false">AG12+AG15+AG18+AG21</f>
        <v>460416.666666667</v>
      </c>
      <c r="AH25" s="25" t="n">
        <f aca="false">SUM(V25:AG25)</f>
        <v>4010000</v>
      </c>
      <c r="AI25" s="25"/>
      <c r="AJ25" s="25" t="n">
        <f aca="false">AJ12+AJ15+AJ18+AJ21</f>
        <v>480833.333333333</v>
      </c>
      <c r="AK25" s="25" t="n">
        <f aca="false">AK12+AK15+AK18+AK21</f>
        <v>517916.666666667</v>
      </c>
      <c r="AL25" s="25" t="n">
        <f aca="false">AL12+AL15+AL18+AL21</f>
        <v>530625</v>
      </c>
      <c r="AM25" s="25" t="n">
        <f aca="false">AM12+AM15+AM18+AM21</f>
        <v>543333.333333333</v>
      </c>
      <c r="AN25" s="25" t="n">
        <f aca="false">AN12+AN15+AN18+AN21</f>
        <v>573750</v>
      </c>
      <c r="AO25" s="25" t="n">
        <f aca="false">AO12+AO15+AO18+AO21</f>
        <v>598750</v>
      </c>
      <c r="AP25" s="25" t="n">
        <f aca="false">AP12+AP15+AP18+AP21</f>
        <v>618750</v>
      </c>
      <c r="AQ25" s="25" t="n">
        <f aca="false">AQ12+AQ15+AQ18+AQ21</f>
        <v>629166.666666667</v>
      </c>
      <c r="AR25" s="25" t="n">
        <f aca="false">AR12+AR15+AR18+AR21</f>
        <v>644166.666666667</v>
      </c>
      <c r="AS25" s="25" t="n">
        <f aca="false">AS12+AS15+AS18+AS21</f>
        <v>670000</v>
      </c>
      <c r="AT25" s="25" t="n">
        <f aca="false">AT12+AT15+AT18+AT21</f>
        <v>685000</v>
      </c>
      <c r="AU25" s="25" t="n">
        <f aca="false">AU12+AU15+AU18+AU21</f>
        <v>695416.666666667</v>
      </c>
      <c r="AV25" s="25" t="n">
        <f aca="false">SUM(AJ25:AU25)</f>
        <v>7187708.33333333</v>
      </c>
      <c r="AW25" s="40"/>
    </row>
    <row r="26" customFormat="false" ht="13.45" hidden="false" customHeight="false" outlineLevel="0" collapsed="false">
      <c r="A26" s="29"/>
      <c r="B26" s="29"/>
      <c r="C26" s="29"/>
      <c r="D26" s="29"/>
      <c r="E26" s="40"/>
      <c r="F26" s="40"/>
      <c r="G26" s="40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  <c r="AI26" s="25"/>
      <c r="AJ26" s="25"/>
      <c r="AK26" s="25"/>
      <c r="AL26" s="25"/>
      <c r="AM26" s="25"/>
      <c r="AN26" s="25"/>
      <c r="AO26" s="25"/>
      <c r="AP26" s="25"/>
      <c r="AQ26" s="25"/>
      <c r="AR26" s="25"/>
      <c r="AS26" s="25"/>
      <c r="AT26" s="25"/>
      <c r="AU26" s="25"/>
      <c r="AV26" s="25"/>
      <c r="AW26" s="40"/>
    </row>
    <row r="27" customFormat="false" ht="13.45" hidden="false" customHeight="false" outlineLevel="0" collapsed="false">
      <c r="A27" s="34" t="s">
        <v>52</v>
      </c>
      <c r="B27" s="29"/>
      <c r="C27" s="29"/>
      <c r="D27" s="29"/>
      <c r="E27" s="40"/>
      <c r="F27" s="40"/>
      <c r="G27" s="40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5"/>
      <c r="AJ27" s="25"/>
      <c r="AK27" s="25"/>
      <c r="AL27" s="25"/>
      <c r="AM27" s="25"/>
      <c r="AN27" s="25"/>
      <c r="AO27" s="25"/>
      <c r="AP27" s="25"/>
      <c r="AQ27" s="25"/>
      <c r="AR27" s="25"/>
      <c r="AS27" s="25"/>
      <c r="AT27" s="25"/>
      <c r="AU27" s="25"/>
      <c r="AV27" s="25"/>
      <c r="AW27" s="40"/>
    </row>
    <row r="28" customFormat="false" ht="13.45" hidden="false" customHeight="false" outlineLevel="0" collapsed="false">
      <c r="A28" s="29"/>
      <c r="B28" s="34" t="s">
        <v>53</v>
      </c>
      <c r="C28" s="29"/>
      <c r="D28" s="29"/>
      <c r="E28" s="48" t="n">
        <v>0.062</v>
      </c>
      <c r="F28" s="40"/>
      <c r="G28" s="40"/>
      <c r="H28" s="25" t="n">
        <f aca="false">H$25*$E28</f>
        <v>645.833333333333</v>
      </c>
      <c r="I28" s="25" t="n">
        <f aca="false">I$25*$E28</f>
        <v>1110.83333333333</v>
      </c>
      <c r="J28" s="25" t="n">
        <f aca="false">J$25*$E28</f>
        <v>1885.83333333333</v>
      </c>
      <c r="K28" s="25" t="n">
        <f aca="false">K$25*$E28</f>
        <v>2325</v>
      </c>
      <c r="L28" s="25" t="n">
        <f aca="false">L$25*$E28</f>
        <v>2325</v>
      </c>
      <c r="M28" s="25" t="n">
        <f aca="false">M$25*$E28</f>
        <v>2790</v>
      </c>
      <c r="N28" s="25" t="n">
        <f aca="false">N$25*$E28</f>
        <v>5295.83333333333</v>
      </c>
      <c r="O28" s="25" t="n">
        <f aca="false">O$25*$E28</f>
        <v>7362.5</v>
      </c>
      <c r="P28" s="25" t="n">
        <f aca="false">P$25*$E28</f>
        <v>8912.5</v>
      </c>
      <c r="Q28" s="25" t="n">
        <f aca="false">Q$25*$E28</f>
        <v>10591.6666666667</v>
      </c>
      <c r="R28" s="25" t="n">
        <f aca="false">R$25*$E28</f>
        <v>11883.3333333333</v>
      </c>
      <c r="S28" s="25" t="n">
        <f aca="false">S$25*$E28</f>
        <v>13097.5</v>
      </c>
      <c r="T28" s="25" t="n">
        <f aca="false">SUM(H28:S28)</f>
        <v>68225.8333333333</v>
      </c>
      <c r="V28" s="25" t="n">
        <f aca="false">V$25*$E28</f>
        <v>12012.5</v>
      </c>
      <c r="W28" s="25" t="n">
        <f aca="false">W$25*$E28</f>
        <v>14027.5</v>
      </c>
      <c r="X28" s="25" t="n">
        <f aca="false">X$25*$E28</f>
        <v>15758.3333333333</v>
      </c>
      <c r="Y28" s="25" t="n">
        <f aca="false">Y$25*$E28</f>
        <v>17179.1666666667</v>
      </c>
      <c r="Z28" s="25" t="n">
        <f aca="false">Z$25*$E28</f>
        <v>18109.1666666667</v>
      </c>
      <c r="AA28" s="25" t="n">
        <f aca="false">AA$25*$E28</f>
        <v>19478.3333333333</v>
      </c>
      <c r="AB28" s="25" t="n">
        <f aca="false">AB$25*$E28</f>
        <v>21235</v>
      </c>
      <c r="AC28" s="25" t="n">
        <f aca="false">AC$25*$E28</f>
        <v>22320</v>
      </c>
      <c r="AD28" s="25" t="n">
        <f aca="false">AD$25*$E28</f>
        <v>25549.1666666667</v>
      </c>
      <c r="AE28" s="25" t="n">
        <f aca="false">AE$25*$E28</f>
        <v>26324.1666666667</v>
      </c>
      <c r="AF28" s="25" t="n">
        <f aca="false">AF$25*$E28</f>
        <v>28080.8333333333</v>
      </c>
      <c r="AG28" s="25" t="n">
        <f aca="false">AG$25*$E28</f>
        <v>28545.8333333333</v>
      </c>
      <c r="AH28" s="25" t="n">
        <f aca="false">SUM(V28:AG28)</f>
        <v>248620</v>
      </c>
      <c r="AI28" s="25"/>
      <c r="AJ28" s="25" t="n">
        <f aca="false">AJ$25*$E28</f>
        <v>29811.6666666667</v>
      </c>
      <c r="AK28" s="25" t="n">
        <f aca="false">AK$25*$E28</f>
        <v>32110.8333333333</v>
      </c>
      <c r="AL28" s="25" t="n">
        <f aca="false">AL$25*$E28</f>
        <v>32898.75</v>
      </c>
      <c r="AM28" s="25" t="n">
        <f aca="false">AM$25*$E28</f>
        <v>33686.6666666667</v>
      </c>
      <c r="AN28" s="25" t="n">
        <f aca="false">AN$25*$E28</f>
        <v>35572.5</v>
      </c>
      <c r="AO28" s="25" t="n">
        <f aca="false">AO$25*$E28</f>
        <v>37122.5</v>
      </c>
      <c r="AP28" s="25" t="n">
        <f aca="false">AP$25*$E28</f>
        <v>38362.5</v>
      </c>
      <c r="AQ28" s="25" t="n">
        <f aca="false">AQ$25*$E28</f>
        <v>39008.3333333333</v>
      </c>
      <c r="AR28" s="25" t="n">
        <f aca="false">AR$25*$E28</f>
        <v>39938.3333333333</v>
      </c>
      <c r="AS28" s="25" t="n">
        <f aca="false">AS$25*$E28</f>
        <v>41540</v>
      </c>
      <c r="AT28" s="25" t="n">
        <f aca="false">AT$25*$E28</f>
        <v>42470</v>
      </c>
      <c r="AU28" s="25" t="n">
        <f aca="false">AU$25*$E28</f>
        <v>43115.8333333333</v>
      </c>
      <c r="AV28" s="25" t="n">
        <f aca="false">SUM(AJ28:AU28)</f>
        <v>445637.916666667</v>
      </c>
      <c r="AW28" s="40"/>
    </row>
    <row r="29" customFormat="false" ht="13.45" hidden="false" customHeight="false" outlineLevel="0" collapsed="false">
      <c r="A29" s="29"/>
      <c r="B29" s="34" t="s">
        <v>54</v>
      </c>
      <c r="C29" s="29"/>
      <c r="D29" s="29"/>
      <c r="E29" s="48" t="n">
        <v>0.0145</v>
      </c>
      <c r="F29" s="40"/>
      <c r="G29" s="40"/>
      <c r="H29" s="25" t="n">
        <f aca="false">H$25*$E29</f>
        <v>151.041666666667</v>
      </c>
      <c r="I29" s="25" t="n">
        <f aca="false">I$25*$E29</f>
        <v>259.791666666667</v>
      </c>
      <c r="J29" s="25" t="n">
        <f aca="false">J$25*$E29</f>
        <v>441.041666666667</v>
      </c>
      <c r="K29" s="25" t="n">
        <f aca="false">K$25*$E29</f>
        <v>543.75</v>
      </c>
      <c r="L29" s="25" t="n">
        <f aca="false">L$25*$E29</f>
        <v>543.75</v>
      </c>
      <c r="M29" s="25" t="n">
        <f aca="false">M$25*$E29</f>
        <v>652.5</v>
      </c>
      <c r="N29" s="25" t="n">
        <f aca="false">N$25*$E29</f>
        <v>1238.54166666667</v>
      </c>
      <c r="O29" s="25" t="n">
        <f aca="false">O$25*$E29</f>
        <v>1721.875</v>
      </c>
      <c r="P29" s="25" t="n">
        <f aca="false">P$25*$E29</f>
        <v>2084.375</v>
      </c>
      <c r="Q29" s="25" t="n">
        <f aca="false">Q$25*$E29</f>
        <v>2477.08333333333</v>
      </c>
      <c r="R29" s="25" t="n">
        <f aca="false">R$25*$E29</f>
        <v>2779.16666666667</v>
      </c>
      <c r="S29" s="25" t="n">
        <f aca="false">S$25*$E29</f>
        <v>3063.125</v>
      </c>
      <c r="T29" s="25" t="n">
        <f aca="false">SUM(H29:S29)</f>
        <v>15956.0416666667</v>
      </c>
      <c r="V29" s="25" t="n">
        <f aca="false">V$25*$E29</f>
        <v>2809.375</v>
      </c>
      <c r="W29" s="25" t="n">
        <f aca="false">W$25*$E29</f>
        <v>3280.625</v>
      </c>
      <c r="X29" s="25" t="n">
        <f aca="false">X$25*$E29</f>
        <v>3685.41666666667</v>
      </c>
      <c r="Y29" s="25" t="n">
        <f aca="false">Y$25*$E29</f>
        <v>4017.70833333333</v>
      </c>
      <c r="Z29" s="25" t="n">
        <f aca="false">Z$25*$E29</f>
        <v>4235.20833333333</v>
      </c>
      <c r="AA29" s="25" t="n">
        <f aca="false">AA$25*$E29</f>
        <v>4555.41666666667</v>
      </c>
      <c r="AB29" s="25" t="n">
        <f aca="false">AB$25*$E29</f>
        <v>4966.25</v>
      </c>
      <c r="AC29" s="25" t="n">
        <f aca="false">AC$25*$E29</f>
        <v>5220</v>
      </c>
      <c r="AD29" s="25" t="n">
        <f aca="false">AD$25*$E29</f>
        <v>5975.20833333333</v>
      </c>
      <c r="AE29" s="25" t="n">
        <f aca="false">AE$25*$E29</f>
        <v>6156.45833333333</v>
      </c>
      <c r="AF29" s="25" t="n">
        <f aca="false">AF$25*$E29</f>
        <v>6567.29166666667</v>
      </c>
      <c r="AG29" s="25" t="n">
        <f aca="false">AG$25*$E29</f>
        <v>6676.04166666667</v>
      </c>
      <c r="AH29" s="25" t="n">
        <f aca="false">SUM(V29:AG29)</f>
        <v>58145</v>
      </c>
      <c r="AI29" s="25"/>
      <c r="AJ29" s="25" t="n">
        <f aca="false">AJ$25*$E29</f>
        <v>6972.08333333333</v>
      </c>
      <c r="AK29" s="25" t="n">
        <f aca="false">AK$25*$E29</f>
        <v>7509.79166666667</v>
      </c>
      <c r="AL29" s="25" t="n">
        <f aca="false">AL$25*$E29</f>
        <v>7694.0625</v>
      </c>
      <c r="AM29" s="25" t="n">
        <f aca="false">AM$25*$E29</f>
        <v>7878.33333333333</v>
      </c>
      <c r="AN29" s="25" t="n">
        <f aca="false">AN$25*$E29</f>
        <v>8319.375</v>
      </c>
      <c r="AO29" s="25" t="n">
        <f aca="false">AO$25*$E29</f>
        <v>8681.875</v>
      </c>
      <c r="AP29" s="25" t="n">
        <f aca="false">AP$25*$E29</f>
        <v>8971.875</v>
      </c>
      <c r="AQ29" s="25" t="n">
        <f aca="false">AQ$25*$E29</f>
        <v>9122.91666666667</v>
      </c>
      <c r="AR29" s="25" t="n">
        <f aca="false">AR$25*$E29</f>
        <v>9340.41666666667</v>
      </c>
      <c r="AS29" s="25" t="n">
        <f aca="false">AS$25*$E29</f>
        <v>9715</v>
      </c>
      <c r="AT29" s="25" t="n">
        <f aca="false">AT$25*$E29</f>
        <v>9932.5</v>
      </c>
      <c r="AU29" s="25" t="n">
        <f aca="false">AU$25*$E29</f>
        <v>10083.5416666667</v>
      </c>
      <c r="AV29" s="25" t="n">
        <f aca="false">SUM(AJ29:AU29)</f>
        <v>104221.770833333</v>
      </c>
      <c r="AW29" s="40"/>
    </row>
    <row r="30" customFormat="false" ht="13.45" hidden="false" customHeight="false" outlineLevel="0" collapsed="false">
      <c r="A30" s="29"/>
      <c r="B30" s="34" t="s">
        <v>55</v>
      </c>
      <c r="C30" s="29"/>
      <c r="D30" s="29"/>
      <c r="E30" s="48" t="n">
        <v>0.008</v>
      </c>
      <c r="F30" s="40" t="n">
        <v>0</v>
      </c>
      <c r="G30" s="40"/>
      <c r="H30" s="25" t="n">
        <f aca="false">H$25*$E30</f>
        <v>83.3333333333333</v>
      </c>
      <c r="I30" s="25" t="n">
        <f aca="false">I$25*$E30</f>
        <v>143.333333333333</v>
      </c>
      <c r="J30" s="25" t="n">
        <f aca="false">J$25*$E30</f>
        <v>243.333333333333</v>
      </c>
      <c r="K30" s="25" t="n">
        <f aca="false">K$25*$E30</f>
        <v>300</v>
      </c>
      <c r="L30" s="25" t="n">
        <f aca="false">L$25*$E30</f>
        <v>300</v>
      </c>
      <c r="M30" s="25" t="n">
        <f aca="false">M$25*$E30</f>
        <v>360</v>
      </c>
      <c r="N30" s="25" t="n">
        <f aca="false">N$25*$E30</f>
        <v>683.333333333333</v>
      </c>
      <c r="O30" s="25" t="n">
        <f aca="false">O$25*$E30</f>
        <v>950</v>
      </c>
      <c r="P30" s="25" t="n">
        <f aca="false">P$25*$E30</f>
        <v>1150</v>
      </c>
      <c r="Q30" s="25" t="n">
        <f aca="false">Q$25*$E30</f>
        <v>1366.66666666667</v>
      </c>
      <c r="R30" s="25" t="n">
        <f aca="false">R$25*$E30</f>
        <v>1533.33333333333</v>
      </c>
      <c r="S30" s="25" t="n">
        <f aca="false">S$25*$E30</f>
        <v>1690</v>
      </c>
      <c r="T30" s="25" t="n">
        <f aca="false">SUM(H30:S30)</f>
        <v>8803.33333333333</v>
      </c>
      <c r="V30" s="25" t="n">
        <f aca="false">V$25*$E30</f>
        <v>1550</v>
      </c>
      <c r="W30" s="25" t="n">
        <f aca="false">W$25*$E30</f>
        <v>1810</v>
      </c>
      <c r="X30" s="25" t="n">
        <f aca="false">X$25*$E30</f>
        <v>2033.33333333333</v>
      </c>
      <c r="Y30" s="25" t="n">
        <f aca="false">Y$25*$E30</f>
        <v>2216.66666666667</v>
      </c>
      <c r="Z30" s="25" t="n">
        <f aca="false">Z$25*$E30</f>
        <v>2336.66666666667</v>
      </c>
      <c r="AA30" s="25" t="n">
        <f aca="false">AA$25*$E30</f>
        <v>2513.33333333333</v>
      </c>
      <c r="AB30" s="25" t="n">
        <f aca="false">AB$25*$E30</f>
        <v>2740</v>
      </c>
      <c r="AC30" s="25" t="n">
        <f aca="false">AC$25*$E30</f>
        <v>2880</v>
      </c>
      <c r="AD30" s="25" t="n">
        <f aca="false">AD$25*$E30</f>
        <v>3296.66666666667</v>
      </c>
      <c r="AE30" s="25" t="n">
        <f aca="false">AE$25*$E30</f>
        <v>3396.66666666667</v>
      </c>
      <c r="AF30" s="25" t="n">
        <f aca="false">AF$25*$E30</f>
        <v>3623.33333333333</v>
      </c>
      <c r="AG30" s="25" t="n">
        <f aca="false">AG$25*$E30</f>
        <v>3683.33333333333</v>
      </c>
      <c r="AH30" s="25" t="n">
        <f aca="false">SUM(V30:AG30)</f>
        <v>32080</v>
      </c>
      <c r="AI30" s="25"/>
      <c r="AJ30" s="25" t="n">
        <f aca="false">AJ$25*$E30</f>
        <v>3846.66666666667</v>
      </c>
      <c r="AK30" s="25" t="n">
        <f aca="false">AK$25*$E30</f>
        <v>4143.33333333333</v>
      </c>
      <c r="AL30" s="25" t="n">
        <f aca="false">AL$25*$E30</f>
        <v>4245</v>
      </c>
      <c r="AM30" s="25" t="n">
        <f aca="false">AM$25*$E30</f>
        <v>4346.66666666667</v>
      </c>
      <c r="AN30" s="25" t="n">
        <f aca="false">AN$25*$E30</f>
        <v>4590</v>
      </c>
      <c r="AO30" s="25" t="n">
        <f aca="false">AO$25*$E30</f>
        <v>4790</v>
      </c>
      <c r="AP30" s="25" t="n">
        <f aca="false">AP$25*$E30</f>
        <v>4950</v>
      </c>
      <c r="AQ30" s="25" t="n">
        <f aca="false">AQ$25*$E30</f>
        <v>5033.33333333333</v>
      </c>
      <c r="AR30" s="25" t="n">
        <f aca="false">AR$25*$E30</f>
        <v>5153.33333333333</v>
      </c>
      <c r="AS30" s="25" t="n">
        <f aca="false">AS$25*$E30</f>
        <v>5360</v>
      </c>
      <c r="AT30" s="25" t="n">
        <f aca="false">AT$25*$E30</f>
        <v>5480</v>
      </c>
      <c r="AU30" s="25" t="n">
        <f aca="false">AU$25*$E30</f>
        <v>5563.33333333333</v>
      </c>
      <c r="AV30" s="25" t="n">
        <f aca="false">SUM(AJ30:AU30)</f>
        <v>57501.6666666667</v>
      </c>
      <c r="AW30" s="40"/>
    </row>
    <row r="31" customFormat="false" ht="13.45" hidden="false" customHeight="false" outlineLevel="0" collapsed="false">
      <c r="A31" s="29"/>
      <c r="B31" s="34" t="s">
        <v>56</v>
      </c>
      <c r="C31" s="29"/>
      <c r="D31" s="29"/>
      <c r="E31" s="48" t="n">
        <v>0.027</v>
      </c>
      <c r="F31" s="40" t="n">
        <v>0</v>
      </c>
      <c r="G31" s="40"/>
      <c r="H31" s="25" t="n">
        <f aca="false">H$25*$E31</f>
        <v>281.25</v>
      </c>
      <c r="I31" s="25" t="n">
        <f aca="false">I$25*$E31</f>
        <v>483.75</v>
      </c>
      <c r="J31" s="25" t="n">
        <f aca="false">J$25*$E31</f>
        <v>821.25</v>
      </c>
      <c r="K31" s="25" t="n">
        <f aca="false">K$25*$E31</f>
        <v>1012.5</v>
      </c>
      <c r="L31" s="25" t="n">
        <f aca="false">L$25*$E31</f>
        <v>1012.5</v>
      </c>
      <c r="M31" s="25" t="n">
        <f aca="false">M$25*$E31</f>
        <v>1215</v>
      </c>
      <c r="N31" s="25" t="n">
        <f aca="false">N$25*$E31</f>
        <v>2306.25</v>
      </c>
      <c r="O31" s="25" t="n">
        <f aca="false">O$25*$E31</f>
        <v>3206.25</v>
      </c>
      <c r="P31" s="25" t="n">
        <f aca="false">P$25*$E31</f>
        <v>3881.25</v>
      </c>
      <c r="Q31" s="25" t="n">
        <f aca="false">Q$25*$E31</f>
        <v>4612.5</v>
      </c>
      <c r="R31" s="25" t="n">
        <f aca="false">R$25*$E31</f>
        <v>5175</v>
      </c>
      <c r="S31" s="25" t="n">
        <f aca="false">S$25*$E31</f>
        <v>5703.75</v>
      </c>
      <c r="T31" s="25" t="n">
        <f aca="false">SUM(H31:S31)</f>
        <v>29711.25</v>
      </c>
      <c r="V31" s="25" t="n">
        <f aca="false">V$25*$E31</f>
        <v>5231.25</v>
      </c>
      <c r="W31" s="25" t="n">
        <f aca="false">W$25*$E31</f>
        <v>6108.75</v>
      </c>
      <c r="X31" s="25" t="n">
        <f aca="false">X$25*$E31</f>
        <v>6862.5</v>
      </c>
      <c r="Y31" s="25" t="n">
        <f aca="false">Y$25*$E31</f>
        <v>7481.25</v>
      </c>
      <c r="Z31" s="25" t="n">
        <f aca="false">Z$25*$E31</f>
        <v>7886.25</v>
      </c>
      <c r="AA31" s="25" t="n">
        <f aca="false">AA$25*$E31</f>
        <v>8482.5</v>
      </c>
      <c r="AB31" s="25" t="n">
        <f aca="false">AB$25*$E31</f>
        <v>9247.5</v>
      </c>
      <c r="AC31" s="25" t="n">
        <f aca="false">AC$25*$E31</f>
        <v>9720</v>
      </c>
      <c r="AD31" s="25" t="n">
        <f aca="false">AD$25*$E31</f>
        <v>11126.25</v>
      </c>
      <c r="AE31" s="25" t="n">
        <f aca="false">AE$25*$E31</f>
        <v>11463.75</v>
      </c>
      <c r="AF31" s="25" t="n">
        <f aca="false">AF$25*$E31</f>
        <v>12228.75</v>
      </c>
      <c r="AG31" s="25" t="n">
        <f aca="false">AG$25*$E31</f>
        <v>12431.25</v>
      </c>
      <c r="AH31" s="25" t="n">
        <f aca="false">SUM(V31:AG31)</f>
        <v>108270</v>
      </c>
      <c r="AI31" s="25"/>
      <c r="AJ31" s="25" t="n">
        <f aca="false">AJ$25*$E31</f>
        <v>12982.5</v>
      </c>
      <c r="AK31" s="25" t="n">
        <f aca="false">AK$25*$E31</f>
        <v>13983.75</v>
      </c>
      <c r="AL31" s="25" t="n">
        <f aca="false">AL$25*$E31</f>
        <v>14326.875</v>
      </c>
      <c r="AM31" s="25" t="n">
        <f aca="false">AM$25*$E31</f>
        <v>14670</v>
      </c>
      <c r="AN31" s="25" t="n">
        <f aca="false">AN$25*$E31</f>
        <v>15491.25</v>
      </c>
      <c r="AO31" s="25" t="n">
        <f aca="false">AO$25*$E31</f>
        <v>16166.25</v>
      </c>
      <c r="AP31" s="25" t="n">
        <f aca="false">AP$25*$E31</f>
        <v>16706.25</v>
      </c>
      <c r="AQ31" s="25" t="n">
        <f aca="false">AQ$25*$E31</f>
        <v>16987.5</v>
      </c>
      <c r="AR31" s="25" t="n">
        <f aca="false">AR$25*$E31</f>
        <v>17392.5</v>
      </c>
      <c r="AS31" s="25" t="n">
        <f aca="false">AS$25*$E31</f>
        <v>18090</v>
      </c>
      <c r="AT31" s="25" t="n">
        <f aca="false">AT$25*$E31</f>
        <v>18495</v>
      </c>
      <c r="AU31" s="25" t="n">
        <f aca="false">AU$25*$E31</f>
        <v>18776.25</v>
      </c>
      <c r="AV31" s="25" t="n">
        <f aca="false">SUM(AJ31:AU31)</f>
        <v>194068.125</v>
      </c>
      <c r="AW31" s="40"/>
    </row>
    <row r="32" customFormat="false" ht="13.45" hidden="false" customHeight="false" outlineLevel="0" collapsed="false">
      <c r="A32" s="29"/>
      <c r="B32" s="34" t="s">
        <v>57</v>
      </c>
      <c r="C32" s="29"/>
      <c r="D32" s="29"/>
      <c r="E32" s="48" t="n">
        <v>0</v>
      </c>
      <c r="F32" s="40" t="n">
        <v>0</v>
      </c>
      <c r="G32" s="40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 t="n">
        <f aca="false">SUM(H32:S32)</f>
        <v>0</v>
      </c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25"/>
      <c r="AG32" s="25"/>
      <c r="AH32" s="25" t="n">
        <f aca="false">SUM(V32:AG32)</f>
        <v>0</v>
      </c>
      <c r="AI32" s="25"/>
      <c r="AJ32" s="25"/>
      <c r="AK32" s="25"/>
      <c r="AL32" s="25"/>
      <c r="AM32" s="25"/>
      <c r="AN32" s="25"/>
      <c r="AO32" s="25"/>
      <c r="AP32" s="25"/>
      <c r="AQ32" s="25"/>
      <c r="AR32" s="25"/>
      <c r="AS32" s="25"/>
      <c r="AT32" s="25"/>
      <c r="AU32" s="25"/>
      <c r="AV32" s="25" t="n">
        <f aca="false">SUM(AJ32:AU32)</f>
        <v>0</v>
      </c>
      <c r="AW32" s="40"/>
    </row>
    <row r="33" customFormat="false" ht="13.45" hidden="false" customHeight="false" outlineLevel="0" collapsed="false">
      <c r="A33" s="29"/>
      <c r="B33" s="34" t="s">
        <v>58</v>
      </c>
      <c r="C33" s="29"/>
      <c r="D33" s="29"/>
      <c r="E33" s="48" t="n">
        <v>0</v>
      </c>
      <c r="F33" s="18" t="n">
        <v>0</v>
      </c>
      <c r="G33" s="40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 t="n">
        <f aca="false">SUM(H33:S33)</f>
        <v>0</v>
      </c>
      <c r="V33" s="25"/>
      <c r="W33" s="25"/>
      <c r="X33" s="25"/>
      <c r="Y33" s="25"/>
      <c r="Z33" s="25"/>
      <c r="AA33" s="25"/>
      <c r="AB33" s="25"/>
      <c r="AC33" s="25"/>
      <c r="AD33" s="25"/>
      <c r="AE33" s="25"/>
      <c r="AF33" s="25"/>
      <c r="AG33" s="25"/>
      <c r="AH33" s="25" t="n">
        <f aca="false">SUM(V33:AG33)</f>
        <v>0</v>
      </c>
      <c r="AI33" s="25"/>
      <c r="AJ33" s="25"/>
      <c r="AK33" s="25"/>
      <c r="AL33" s="25"/>
      <c r="AM33" s="25"/>
      <c r="AN33" s="25"/>
      <c r="AO33" s="25"/>
      <c r="AP33" s="25"/>
      <c r="AQ33" s="25"/>
      <c r="AR33" s="25"/>
      <c r="AS33" s="25"/>
      <c r="AT33" s="25"/>
      <c r="AU33" s="25"/>
      <c r="AV33" s="25" t="n">
        <f aca="false">SUM(AJ33:AU33)</f>
        <v>0</v>
      </c>
      <c r="AW33" s="40"/>
    </row>
    <row r="34" customFormat="false" ht="13.45" hidden="false" customHeight="false" outlineLevel="0" collapsed="false">
      <c r="A34" s="29"/>
      <c r="B34" s="34" t="s">
        <v>59</v>
      </c>
      <c r="C34" s="29"/>
      <c r="D34" s="29"/>
      <c r="E34" s="48"/>
      <c r="F34" s="49" t="n">
        <v>1000</v>
      </c>
      <c r="G34" s="40"/>
      <c r="H34" s="25" t="n">
        <f aca="false">H$24*$F34</f>
        <v>1000</v>
      </c>
      <c r="I34" s="25" t="n">
        <f aca="false">I$24*$F34</f>
        <v>2000</v>
      </c>
      <c r="J34" s="50" t="n">
        <f aca="false">J$24*$F34</f>
        <v>4000</v>
      </c>
      <c r="K34" s="50" t="n">
        <f aca="false">K$24*$F34</f>
        <v>4000</v>
      </c>
      <c r="L34" s="50" t="n">
        <f aca="false">L$24*$F34</f>
        <v>4000</v>
      </c>
      <c r="M34" s="50" t="n">
        <f aca="false">M$24*$F34</f>
        <v>5000</v>
      </c>
      <c r="N34" s="50" t="n">
        <f aca="false">N$24*$F34</f>
        <v>7000</v>
      </c>
      <c r="O34" s="50" t="n">
        <f aca="false">O$24*$F34</f>
        <v>11000</v>
      </c>
      <c r="P34" s="50" t="n">
        <f aca="false">P$24*$F34</f>
        <v>13000</v>
      </c>
      <c r="Q34" s="50" t="n">
        <f aca="false">Q$24*$F34</f>
        <v>16000</v>
      </c>
      <c r="R34" s="50" t="n">
        <f aca="false">R$24*$F34</f>
        <v>18000</v>
      </c>
      <c r="S34" s="50" t="n">
        <f aca="false">S$24*$F34</f>
        <v>20000</v>
      </c>
      <c r="T34" s="50" t="n">
        <f aca="false">SUM(H34:S34)</f>
        <v>105000</v>
      </c>
      <c r="U34" s="50"/>
      <c r="V34" s="50" t="n">
        <f aca="false">V$24*$F34</f>
        <v>21000</v>
      </c>
      <c r="W34" s="50" t="n">
        <f aca="false">W$24*$F34</f>
        <v>24000</v>
      </c>
      <c r="X34" s="50" t="n">
        <f aca="false">X$24*$F34</f>
        <v>28000</v>
      </c>
      <c r="Y34" s="50" t="n">
        <f aca="false">Y$24*$F34</f>
        <v>31000</v>
      </c>
      <c r="Z34" s="50" t="n">
        <f aca="false">Z$24*$F34</f>
        <v>33000</v>
      </c>
      <c r="AA34" s="50" t="n">
        <f aca="false">AA$24*$F34</f>
        <v>35000</v>
      </c>
      <c r="AB34" s="50" t="n">
        <f aca="false">AB$24*$F34</f>
        <v>38000</v>
      </c>
      <c r="AC34" s="50" t="n">
        <f aca="false">AC$24*$F34</f>
        <v>41000</v>
      </c>
      <c r="AD34" s="50" t="n">
        <f aca="false">AD$24*$F34</f>
        <v>46000</v>
      </c>
      <c r="AE34" s="50" t="n">
        <f aca="false">AE$24*$F34</f>
        <v>48000</v>
      </c>
      <c r="AF34" s="50" t="n">
        <f aca="false">AF$24*$F34</f>
        <v>51000</v>
      </c>
      <c r="AG34" s="50" t="n">
        <f aca="false">AG$24*$F34</f>
        <v>52000</v>
      </c>
      <c r="AH34" s="50" t="n">
        <f aca="false">AH$24*$F34</f>
        <v>52000</v>
      </c>
      <c r="AI34" s="50"/>
      <c r="AJ34" s="50" t="n">
        <f aca="false">AJ$24*$F34</f>
        <v>55000</v>
      </c>
      <c r="AK34" s="50" t="n">
        <f aca="false">AK$24*$F34</f>
        <v>59000</v>
      </c>
      <c r="AL34" s="50" t="n">
        <f aca="false">AL$24*$F34</f>
        <v>60500</v>
      </c>
      <c r="AM34" s="50" t="n">
        <f aca="false">AM$24*$F34</f>
        <v>62000</v>
      </c>
      <c r="AN34" s="50" t="n">
        <f aca="false">AN$24*$F34</f>
        <v>66000</v>
      </c>
      <c r="AO34" s="50" t="n">
        <f aca="false">AO$24*$F34</f>
        <v>68000</v>
      </c>
      <c r="AP34" s="50" t="n">
        <f aca="false">AP$24*$F34</f>
        <v>71000</v>
      </c>
      <c r="AQ34" s="50" t="n">
        <f aca="false">AQ$24*$F34</f>
        <v>72000</v>
      </c>
      <c r="AR34" s="50" t="n">
        <f aca="false">AR$24*$F34</f>
        <v>74000</v>
      </c>
      <c r="AS34" s="50" t="n">
        <f aca="false">AS$24*$F34</f>
        <v>77000</v>
      </c>
      <c r="AT34" s="50" t="n">
        <f aca="false">AT$24*$F34</f>
        <v>79000</v>
      </c>
      <c r="AU34" s="50" t="n">
        <f aca="false">AU$24*$F34</f>
        <v>80000</v>
      </c>
      <c r="AV34" s="50" t="n">
        <f aca="false">AV$24*$F34</f>
        <v>80000</v>
      </c>
      <c r="AW34" s="40"/>
    </row>
    <row r="35" customFormat="false" ht="13.45" hidden="false" customHeight="false" outlineLevel="0" collapsed="false">
      <c r="A35" s="29"/>
      <c r="B35" s="34" t="s">
        <v>60</v>
      </c>
      <c r="C35" s="29"/>
      <c r="D35" s="29"/>
      <c r="E35" s="48"/>
      <c r="F35" s="49" t="n">
        <v>1000</v>
      </c>
      <c r="G35" s="40"/>
      <c r="H35" s="25" t="n">
        <f aca="false">H$24*$F35</f>
        <v>1000</v>
      </c>
      <c r="I35" s="25" t="n">
        <f aca="false">I$24*$F35</f>
        <v>2000</v>
      </c>
      <c r="J35" s="50" t="n">
        <f aca="false">J$24*$F35</f>
        <v>4000</v>
      </c>
      <c r="K35" s="50" t="n">
        <f aca="false">K$24*$F35</f>
        <v>4000</v>
      </c>
      <c r="L35" s="50" t="n">
        <f aca="false">L$24*$F35</f>
        <v>4000</v>
      </c>
      <c r="M35" s="50" t="n">
        <f aca="false">M$24*$F35</f>
        <v>5000</v>
      </c>
      <c r="N35" s="50" t="n">
        <f aca="false">N$24*$F35</f>
        <v>7000</v>
      </c>
      <c r="O35" s="50" t="n">
        <f aca="false">O$24*$F35</f>
        <v>11000</v>
      </c>
      <c r="P35" s="50" t="n">
        <f aca="false">P$24*$F35</f>
        <v>13000</v>
      </c>
      <c r="Q35" s="50" t="n">
        <f aca="false">Q$24*$F35</f>
        <v>16000</v>
      </c>
      <c r="R35" s="50" t="n">
        <f aca="false">R$24*$F35</f>
        <v>18000</v>
      </c>
      <c r="S35" s="50" t="n">
        <f aca="false">S$24*$F35</f>
        <v>20000</v>
      </c>
      <c r="T35" s="50" t="n">
        <f aca="false">SUM(H35:S35)</f>
        <v>105000</v>
      </c>
      <c r="U35" s="50"/>
      <c r="V35" s="50" t="n">
        <f aca="false">V$24*$F35</f>
        <v>21000</v>
      </c>
      <c r="W35" s="50" t="n">
        <f aca="false">W$24*$F35</f>
        <v>24000</v>
      </c>
      <c r="X35" s="50" t="n">
        <f aca="false">X$24*$F35</f>
        <v>28000</v>
      </c>
      <c r="Y35" s="50" t="n">
        <f aca="false">Y$24*$F35</f>
        <v>31000</v>
      </c>
      <c r="Z35" s="50" t="n">
        <f aca="false">Z$24*$F35</f>
        <v>33000</v>
      </c>
      <c r="AA35" s="50" t="n">
        <f aca="false">AA$24*$F35</f>
        <v>35000</v>
      </c>
      <c r="AB35" s="50" t="n">
        <f aca="false">AB$24*$F35</f>
        <v>38000</v>
      </c>
      <c r="AC35" s="50" t="n">
        <f aca="false">AC$24*$F35</f>
        <v>41000</v>
      </c>
      <c r="AD35" s="50" t="n">
        <f aca="false">AD$24*$F35</f>
        <v>46000</v>
      </c>
      <c r="AE35" s="50" t="n">
        <f aca="false">AE$24*$F35</f>
        <v>48000</v>
      </c>
      <c r="AF35" s="50" t="n">
        <f aca="false">AF$24*$F35</f>
        <v>51000</v>
      </c>
      <c r="AG35" s="50" t="n">
        <f aca="false">AG$24*$F35</f>
        <v>52000</v>
      </c>
      <c r="AH35" s="50" t="n">
        <f aca="false">AH$24*$F35</f>
        <v>52000</v>
      </c>
      <c r="AI35" s="50"/>
      <c r="AJ35" s="50" t="n">
        <f aca="false">AJ$24*$F35</f>
        <v>55000</v>
      </c>
      <c r="AK35" s="50" t="n">
        <f aca="false">AK$24*$F35</f>
        <v>59000</v>
      </c>
      <c r="AL35" s="50" t="n">
        <f aca="false">AL$24*$F35</f>
        <v>60500</v>
      </c>
      <c r="AM35" s="50" t="n">
        <f aca="false">AM$24*$F35</f>
        <v>62000</v>
      </c>
      <c r="AN35" s="50" t="n">
        <f aca="false">AN$24*$F35</f>
        <v>66000</v>
      </c>
      <c r="AO35" s="50" t="n">
        <f aca="false">AO$24*$F35</f>
        <v>68000</v>
      </c>
      <c r="AP35" s="50" t="n">
        <f aca="false">AP$24*$F35</f>
        <v>71000</v>
      </c>
      <c r="AQ35" s="50" t="n">
        <f aca="false">AQ$24*$F35</f>
        <v>72000</v>
      </c>
      <c r="AR35" s="50" t="n">
        <f aca="false">AR$24*$F35</f>
        <v>74000</v>
      </c>
      <c r="AS35" s="50" t="n">
        <f aca="false">AS$24*$F35</f>
        <v>77000</v>
      </c>
      <c r="AT35" s="50" t="n">
        <f aca="false">AT$24*$F35</f>
        <v>79000</v>
      </c>
      <c r="AU35" s="50" t="n">
        <f aca="false">AU$24*$F35</f>
        <v>80000</v>
      </c>
      <c r="AV35" s="50" t="n">
        <f aca="false">AV$24*$F35</f>
        <v>80000</v>
      </c>
      <c r="AW35" s="40"/>
    </row>
    <row r="36" customFormat="false" ht="13.45" hidden="false" customHeight="false" outlineLevel="0" collapsed="false">
      <c r="A36" s="34" t="s">
        <v>61</v>
      </c>
      <c r="B36" s="29"/>
      <c r="C36" s="29"/>
      <c r="D36" s="29"/>
      <c r="E36" s="40"/>
      <c r="F36" s="40"/>
      <c r="G36" s="40"/>
      <c r="H36" s="25" t="n">
        <f aca="false">SUM(H27:H35)</f>
        <v>3161.45833333333</v>
      </c>
      <c r="I36" s="25" t="n">
        <f aca="false">SUM(I27:I35)</f>
        <v>5997.70833333333</v>
      </c>
      <c r="J36" s="50" t="n">
        <f aca="false">SUM(J27:J35)</f>
        <v>11391.4583333333</v>
      </c>
      <c r="K36" s="50" t="n">
        <f aca="false">SUM(K27:K35)</f>
        <v>12181.25</v>
      </c>
      <c r="L36" s="50" t="n">
        <f aca="false">SUM(L27:L35)</f>
        <v>12181.25</v>
      </c>
      <c r="M36" s="50" t="n">
        <f aca="false">SUM(M27:M35)</f>
        <v>15017.5</v>
      </c>
      <c r="N36" s="50" t="n">
        <f aca="false">SUM(N27:N35)</f>
        <v>23523.9583333333</v>
      </c>
      <c r="O36" s="50" t="n">
        <f aca="false">SUM(O27:O35)</f>
        <v>35240.625</v>
      </c>
      <c r="P36" s="50" t="n">
        <f aca="false">SUM(P27:P35)</f>
        <v>42028.125</v>
      </c>
      <c r="Q36" s="50" t="n">
        <f aca="false">SUM(Q27:Q35)</f>
        <v>51047.9166666667</v>
      </c>
      <c r="R36" s="50" t="n">
        <f aca="false">SUM(R27:R35)</f>
        <v>57370.8333333333</v>
      </c>
      <c r="S36" s="50" t="n">
        <f aca="false">SUM(S27:S35)</f>
        <v>63554.375</v>
      </c>
      <c r="T36" s="50" t="n">
        <f aca="false">SUM(T27:T35)</f>
        <v>332696.458333333</v>
      </c>
      <c r="U36" s="50"/>
      <c r="V36" s="50" t="n">
        <f aca="false">SUM(V27:V35)</f>
        <v>63603.125</v>
      </c>
      <c r="W36" s="50" t="n">
        <f aca="false">SUM(W27:W35)</f>
        <v>73226.875</v>
      </c>
      <c r="X36" s="50" t="n">
        <f aca="false">SUM(X27:X35)</f>
        <v>84339.5833333333</v>
      </c>
      <c r="Y36" s="50" t="n">
        <f aca="false">SUM(Y27:Y35)</f>
        <v>92894.7916666667</v>
      </c>
      <c r="Z36" s="50" t="n">
        <f aca="false">SUM(Z27:Z35)</f>
        <v>98567.2916666667</v>
      </c>
      <c r="AA36" s="50" t="n">
        <f aca="false">SUM(AA27:AA35)</f>
        <v>105029.583333333</v>
      </c>
      <c r="AB36" s="50" t="n">
        <f aca="false">SUM(AB27:AB35)</f>
        <v>114188.75</v>
      </c>
      <c r="AC36" s="50" t="n">
        <f aca="false">SUM(AC27:AC35)</f>
        <v>122140</v>
      </c>
      <c r="AD36" s="50" t="n">
        <f aca="false">SUM(AD27:AD35)</f>
        <v>137947.291666667</v>
      </c>
      <c r="AE36" s="50" t="n">
        <f aca="false">SUM(AE27:AE35)</f>
        <v>143341.041666667</v>
      </c>
      <c r="AF36" s="50" t="n">
        <f aca="false">SUM(AF27:AF35)</f>
        <v>152500.208333333</v>
      </c>
      <c r="AG36" s="50" t="n">
        <f aca="false">SUM(AG27:AG35)</f>
        <v>155336.458333333</v>
      </c>
      <c r="AH36" s="50" t="n">
        <f aca="false">SUM(AH27:AH35)</f>
        <v>551115</v>
      </c>
      <c r="AI36" s="50"/>
      <c r="AJ36" s="50" t="n">
        <f aca="false">SUM(AJ27:AJ35)</f>
        <v>163612.916666667</v>
      </c>
      <c r="AK36" s="50" t="n">
        <f aca="false">SUM(AK27:AK35)</f>
        <v>175747.708333333</v>
      </c>
      <c r="AL36" s="50" t="n">
        <f aca="false">SUM(AL27:AL35)</f>
        <v>180164.6875</v>
      </c>
      <c r="AM36" s="50" t="n">
        <f aca="false">SUM(AM27:AM35)</f>
        <v>184581.666666667</v>
      </c>
      <c r="AN36" s="50" t="n">
        <f aca="false">SUM(AN27:AN35)</f>
        <v>195973.125</v>
      </c>
      <c r="AO36" s="50" t="n">
        <f aca="false">SUM(AO27:AO35)</f>
        <v>202760.625</v>
      </c>
      <c r="AP36" s="50" t="n">
        <f aca="false">SUM(AP27:AP35)</f>
        <v>210990.625</v>
      </c>
      <c r="AQ36" s="50" t="n">
        <f aca="false">SUM(AQ27:AQ35)</f>
        <v>214152.083333333</v>
      </c>
      <c r="AR36" s="50" t="n">
        <f aca="false">SUM(AR27:AR35)</f>
        <v>219824.583333333</v>
      </c>
      <c r="AS36" s="50" t="n">
        <f aca="false">SUM(AS27:AS35)</f>
        <v>228705</v>
      </c>
      <c r="AT36" s="50" t="n">
        <f aca="false">SUM(AT27:AT35)</f>
        <v>234377.5</v>
      </c>
      <c r="AU36" s="50" t="n">
        <f aca="false">SUM(AU27:AU35)</f>
        <v>237538.958333333</v>
      </c>
      <c r="AV36" s="50" t="n">
        <f aca="false">SUM(AV27:AV35)</f>
        <v>961429.479166667</v>
      </c>
      <c r="AW36" s="40"/>
    </row>
    <row r="37" customFormat="false" ht="13.45" hidden="false" customHeight="false" outlineLevel="0" collapsed="false">
      <c r="A37" s="29"/>
      <c r="B37" s="29"/>
      <c r="C37" s="29"/>
      <c r="D37" s="29"/>
      <c r="E37" s="40"/>
      <c r="F37" s="40"/>
      <c r="G37" s="40"/>
      <c r="H37" s="29"/>
      <c r="I37" s="29"/>
      <c r="V37" s="29"/>
      <c r="W37" s="29"/>
      <c r="AH37" s="25"/>
      <c r="AI37" s="25"/>
      <c r="AJ37" s="29"/>
      <c r="AK37" s="29"/>
      <c r="AV37" s="25"/>
      <c r="AW37" s="40"/>
    </row>
    <row r="38" customFormat="false" ht="13.45" hidden="false" customHeight="false" outlineLevel="0" collapsed="false">
      <c r="A38" s="29"/>
      <c r="B38" s="29"/>
      <c r="C38" s="29"/>
      <c r="D38" s="29"/>
      <c r="E38" s="40"/>
      <c r="F38" s="40"/>
      <c r="G38" s="40"/>
      <c r="H38" s="29"/>
      <c r="I38" s="29"/>
      <c r="V38" s="29"/>
      <c r="W38" s="29"/>
      <c r="AH38" s="25"/>
      <c r="AI38" s="25"/>
      <c r="AJ38" s="29"/>
      <c r="AK38" s="29"/>
      <c r="AV38" s="25"/>
      <c r="AW38" s="40"/>
    </row>
    <row r="39" customFormat="false" ht="13.45" hidden="false" customHeight="false" outlineLevel="0" collapsed="false">
      <c r="A39" s="34" t="s">
        <v>62</v>
      </c>
      <c r="B39" s="29"/>
      <c r="C39" s="29"/>
      <c r="D39" s="29"/>
      <c r="E39" s="40"/>
      <c r="F39" s="40"/>
      <c r="G39" s="40"/>
      <c r="H39" s="51" t="n">
        <f aca="false">H25+H36</f>
        <v>13578.125</v>
      </c>
      <c r="I39" s="51" t="n">
        <f aca="false">I25+I36</f>
        <v>23914.375</v>
      </c>
      <c r="J39" s="51" t="n">
        <f aca="false">J25+J36</f>
        <v>41808.125</v>
      </c>
      <c r="K39" s="51" t="n">
        <f aca="false">K25+K36</f>
        <v>49681.25</v>
      </c>
      <c r="L39" s="51" t="n">
        <f aca="false">L25+L36</f>
        <v>49681.25</v>
      </c>
      <c r="M39" s="51" t="n">
        <f aca="false">M25+M36</f>
        <v>60017.5</v>
      </c>
      <c r="N39" s="51" t="n">
        <f aca="false">N25+N36</f>
        <v>108940.625</v>
      </c>
      <c r="O39" s="51" t="n">
        <f aca="false">O25+O36</f>
        <v>153990.625</v>
      </c>
      <c r="P39" s="51" t="n">
        <f aca="false">P25+P36</f>
        <v>185778.125</v>
      </c>
      <c r="Q39" s="51" t="n">
        <f aca="false">Q25+Q36</f>
        <v>221881.25</v>
      </c>
      <c r="R39" s="51" t="n">
        <f aca="false">R25+R36</f>
        <v>249037.5</v>
      </c>
      <c r="S39" s="51" t="n">
        <f aca="false">S25+S36</f>
        <v>274804.375</v>
      </c>
      <c r="T39" s="25" t="n">
        <f aca="false">SUM(H39:S39)</f>
        <v>1433113.125</v>
      </c>
      <c r="V39" s="51" t="n">
        <f aca="false">V25+V36</f>
        <v>257353.125</v>
      </c>
      <c r="W39" s="51" t="n">
        <f aca="false">W25+W36</f>
        <v>299476.875</v>
      </c>
      <c r="X39" s="51" t="n">
        <f aca="false">X25+X36</f>
        <v>338506.25</v>
      </c>
      <c r="Y39" s="51" t="n">
        <f aca="false">Y25+Y36</f>
        <v>369978.125</v>
      </c>
      <c r="Z39" s="51" t="n">
        <f aca="false">Z25+Z36</f>
        <v>390650.625</v>
      </c>
      <c r="AA39" s="51" t="n">
        <f aca="false">AA25+AA36</f>
        <v>419196.25</v>
      </c>
      <c r="AB39" s="51" t="n">
        <f aca="false">AB25+AB36</f>
        <v>456688.75</v>
      </c>
      <c r="AC39" s="51" t="n">
        <f aca="false">AC25+AC36</f>
        <v>482140</v>
      </c>
      <c r="AD39" s="51" t="n">
        <f aca="false">AD25+AD36</f>
        <v>550030.625</v>
      </c>
      <c r="AE39" s="51" t="n">
        <f aca="false">AE25+AE36</f>
        <v>567924.375</v>
      </c>
      <c r="AF39" s="51" t="n">
        <f aca="false">AF25+AF36</f>
        <v>605416.875</v>
      </c>
      <c r="AG39" s="51" t="n">
        <f aca="false">AG25+AG36</f>
        <v>615753.125</v>
      </c>
      <c r="AH39" s="25" t="n">
        <f aca="false">SUM(V39:AG39)</f>
        <v>5353115</v>
      </c>
      <c r="AI39" s="25"/>
      <c r="AJ39" s="51" t="n">
        <f aca="false">AJ25+AJ36</f>
        <v>644446.25</v>
      </c>
      <c r="AK39" s="51" t="n">
        <f aca="false">AK25+AK36</f>
        <v>693664.375</v>
      </c>
      <c r="AL39" s="51" t="n">
        <f aca="false">AL25+AL36</f>
        <v>710789.6875</v>
      </c>
      <c r="AM39" s="51" t="n">
        <f aca="false">AM25+AM36</f>
        <v>727915</v>
      </c>
      <c r="AN39" s="51" t="n">
        <f aca="false">AN25+AN36</f>
        <v>769723.125</v>
      </c>
      <c r="AO39" s="51" t="n">
        <f aca="false">AO25+AO36</f>
        <v>801510.625</v>
      </c>
      <c r="AP39" s="51" t="n">
        <f aca="false">AP25+AP36</f>
        <v>829740.625</v>
      </c>
      <c r="AQ39" s="51" t="n">
        <f aca="false">AQ25+AQ36</f>
        <v>843318.75</v>
      </c>
      <c r="AR39" s="51" t="n">
        <f aca="false">AR25+AR36</f>
        <v>863991.25</v>
      </c>
      <c r="AS39" s="51" t="n">
        <f aca="false">AS25+AS36</f>
        <v>898705</v>
      </c>
      <c r="AT39" s="51" t="n">
        <f aca="false">AT25+AT36</f>
        <v>919377.5</v>
      </c>
      <c r="AU39" s="51" t="n">
        <f aca="false">AU25+AU36</f>
        <v>932955.625</v>
      </c>
      <c r="AV39" s="25" t="n">
        <f aca="false">SUM(AJ39:AU39)</f>
        <v>9636137.8125</v>
      </c>
      <c r="AW39" s="40"/>
    </row>
    <row r="40" customFormat="false" ht="13.45" hidden="false" customHeight="false" outlineLevel="0" collapsed="false">
      <c r="A40" s="29"/>
      <c r="B40" s="29"/>
      <c r="C40" s="29"/>
      <c r="D40" s="29"/>
      <c r="E40" s="40"/>
      <c r="F40" s="40"/>
      <c r="G40" s="40"/>
      <c r="H40" s="29"/>
      <c r="I40" s="29"/>
      <c r="V40" s="29"/>
      <c r="W40" s="29"/>
      <c r="AH40" s="40"/>
      <c r="AI40" s="40"/>
      <c r="AJ40" s="29"/>
      <c r="AK40" s="29"/>
      <c r="AV40" s="40"/>
      <c r="AW40" s="40"/>
    </row>
    <row r="41" customFormat="false" ht="13.45" hidden="false" customHeight="false" outlineLevel="0" collapsed="false">
      <c r="A41" s="29"/>
      <c r="B41" s="29"/>
      <c r="C41" s="29"/>
      <c r="D41" s="29"/>
      <c r="E41" s="40"/>
      <c r="F41" s="40"/>
      <c r="G41" s="40"/>
      <c r="H41" s="29"/>
      <c r="I41" s="29"/>
      <c r="V41" s="29"/>
      <c r="W41" s="29"/>
      <c r="AH41" s="40"/>
      <c r="AI41" s="40"/>
      <c r="AJ41" s="29"/>
      <c r="AK41" s="29"/>
      <c r="AV41" s="40"/>
      <c r="AW41" s="40"/>
    </row>
    <row r="42" customFormat="false" ht="13.45" hidden="false" customHeight="false" outlineLevel="0" collapsed="false">
      <c r="A42" s="29"/>
      <c r="B42" s="29"/>
      <c r="C42" s="29"/>
      <c r="D42" s="29"/>
      <c r="E42" s="40"/>
      <c r="F42" s="40"/>
      <c r="G42" s="40"/>
      <c r="H42" s="29"/>
      <c r="I42" s="29"/>
      <c r="V42" s="29"/>
      <c r="W42" s="29"/>
      <c r="AH42" s="40"/>
      <c r="AI42" s="40"/>
      <c r="AJ42" s="29"/>
      <c r="AK42" s="29"/>
      <c r="AV42" s="40"/>
      <c r="AW42" s="40"/>
    </row>
    <row r="43" customFormat="false" ht="13.45" hidden="false" customHeight="false" outlineLevel="0" collapsed="false">
      <c r="A43" s="29" t="s">
        <v>63</v>
      </c>
      <c r="B43" s="29"/>
      <c r="C43" s="29"/>
      <c r="D43" s="29"/>
      <c r="E43" s="40"/>
      <c r="F43" s="40"/>
      <c r="G43" s="40"/>
      <c r="H43" s="25" t="n">
        <f aca="false">'4. Sales Forecast'!H69/H24</f>
        <v>0</v>
      </c>
      <c r="I43" s="25" t="n">
        <f aca="false">'4. Sales Forecast'!I69/I24</f>
        <v>23072</v>
      </c>
      <c r="J43" s="25" t="n">
        <f aca="false">'4. Sales Forecast'!J69/J24</f>
        <v>47254.25</v>
      </c>
      <c r="K43" s="25" t="n">
        <f aca="false">'4. Sales Forecast'!K69/K24</f>
        <v>80570.25</v>
      </c>
      <c r="L43" s="25" t="n">
        <f aca="false">'4. Sales Forecast'!L69/L24</f>
        <v>116936.5</v>
      </c>
      <c r="M43" s="25" t="n">
        <f aca="false">'4. Sales Forecast'!M69/M24</f>
        <v>124387</v>
      </c>
      <c r="N43" s="25" t="n">
        <f aca="false">'4. Sales Forecast'!N69/N24</f>
        <v>126885.142857143</v>
      </c>
      <c r="O43" s="25" t="n">
        <f aca="false">'4. Sales Forecast'!O69/O24</f>
        <v>79894.6363636364</v>
      </c>
      <c r="P43" s="25" t="n">
        <f aca="false">'4. Sales Forecast'!P69/P24</f>
        <v>80263.2769230769</v>
      </c>
      <c r="Q43" s="25" t="n">
        <f aca="false">'4. Sales Forecast'!Q69/Q24</f>
        <v>73093.4375</v>
      </c>
      <c r="R43" s="25" t="n">
        <f aca="false">'4. Sales Forecast'!R69/R24</f>
        <v>72305.5222222222</v>
      </c>
      <c r="S43" s="25" t="n">
        <f aca="false">'4. Sales Forecast'!S69/S24</f>
        <v>82177.8</v>
      </c>
      <c r="T43" s="25" t="n">
        <f aca="false">'4. Sales Forecast'!T69/T24</f>
        <v>428606.65</v>
      </c>
      <c r="V43" s="25" t="n">
        <f aca="false">'4. Sales Forecast'!V69/V24</f>
        <v>80631.1333333333</v>
      </c>
      <c r="W43" s="25" t="n">
        <f aca="false">'4. Sales Forecast'!W69/W24</f>
        <v>105534.6125</v>
      </c>
      <c r="X43" s="25" t="n">
        <f aca="false">'4. Sales Forecast'!X69/X24</f>
        <v>119307.4375</v>
      </c>
      <c r="Y43" s="25" t="n">
        <f aca="false">'4. Sales Forecast'!Y69/Y24</f>
        <v>140977.653548387</v>
      </c>
      <c r="Z43" s="25" t="n">
        <f aca="false">'4. Sales Forecast'!Z69/Z24</f>
        <v>181866.053636364</v>
      </c>
      <c r="AA43" s="25" t="n">
        <f aca="false">'4. Sales Forecast'!AA69/AA24</f>
        <v>227313.453285714</v>
      </c>
      <c r="AB43" s="25" t="n">
        <f aca="false">'4. Sales Forecast'!AB69/AB24</f>
        <v>255481.584657895</v>
      </c>
      <c r="AC43" s="25" t="n">
        <f aca="false">'4. Sales Forecast'!AC69/AC24</f>
        <v>276308.362985366</v>
      </c>
      <c r="AD43" s="25" t="n">
        <f aca="false">'4. Sales Forecast'!AD69/AD24</f>
        <v>252291.322197643</v>
      </c>
      <c r="AE43" s="25" t="n">
        <f aca="false">'4. Sales Forecast'!AE69/AE24</f>
        <v>286635.36033979</v>
      </c>
      <c r="AF43" s="25" t="n">
        <f aca="false">'4. Sales Forecast'!AF69/AF24</f>
        <v>324098.02856943</v>
      </c>
      <c r="AG43" s="25" t="n">
        <f aca="false">'4. Sales Forecast'!AG69/AG24</f>
        <v>326119.354239327</v>
      </c>
      <c r="AH43" s="25" t="n">
        <f aca="false">'4. Sales Forecast'!AH69/AH24</f>
        <v>2034280.72575553</v>
      </c>
      <c r="AI43" s="25"/>
      <c r="AJ43" s="25" t="n">
        <f aca="false">'4. Sales Forecast'!AJ69/AJ24</f>
        <v>322131.206145455</v>
      </c>
      <c r="AK43" s="25" t="n">
        <f aca="false">'4. Sales Forecast'!AK69/AK24</f>
        <v>370615.497254237</v>
      </c>
      <c r="AL43" s="25" t="n">
        <f aca="false">'4. Sales Forecast'!AL69/AL24</f>
        <v>391899.53877686</v>
      </c>
      <c r="AM43" s="25" t="n">
        <f aca="false">'4. Sales Forecast'!AM69/AM24</f>
        <v>457106.816322581</v>
      </c>
      <c r="AN43" s="25" t="n">
        <f aca="false">'4. Sales Forecast'!AN69/AN24</f>
        <v>484315.018681818</v>
      </c>
      <c r="AO43" s="25" t="n">
        <f aca="false">'4. Sales Forecast'!AO69/AO24</f>
        <v>514464.260517647</v>
      </c>
      <c r="AP43" s="25" t="n">
        <f aca="false">'4. Sales Forecast'!AP69/AP24</f>
        <v>1286988.00278028</v>
      </c>
      <c r="AQ43" s="25" t="n">
        <f aca="false">'4. Sales Forecast'!AQ69/AQ24</f>
        <v>1308652.47496389</v>
      </c>
      <c r="AR43" s="25" t="n">
        <f aca="false">'4. Sales Forecast'!AR69/AR24</f>
        <v>1333657.43461892</v>
      </c>
      <c r="AS43" s="25" t="n">
        <f aca="false">'4. Sales Forecast'!AS69/AS24</f>
        <v>1333185.0995039</v>
      </c>
      <c r="AT43" s="25" t="n">
        <f aca="false">'4. Sales Forecast'!AT69/AT24</f>
        <v>1364674.62620114</v>
      </c>
      <c r="AU43" s="25" t="n">
        <f aca="false">'4. Sales Forecast'!AU69/AU24</f>
        <v>1390849.57222475</v>
      </c>
      <c r="AV43" s="25" t="n">
        <f aca="false">'4. Sales Forecast'!AV69/AV24</f>
        <v>9557559.08498088</v>
      </c>
      <c r="AW43" s="40"/>
    </row>
    <row r="44" s="24" customFormat="true" ht="13.45" hidden="false" customHeight="false" outlineLevel="0" collapsed="false">
      <c r="A44" s="25" t="s">
        <v>64</v>
      </c>
      <c r="B44" s="29"/>
      <c r="C44" s="29"/>
      <c r="D44" s="29"/>
      <c r="E44" s="40"/>
      <c r="F44" s="40"/>
      <c r="G44" s="40"/>
      <c r="H44" s="25" t="n">
        <f aca="false">H43*12</f>
        <v>0</v>
      </c>
      <c r="I44" s="25" t="n">
        <f aca="false">I43*12</f>
        <v>276864</v>
      </c>
      <c r="J44" s="25" t="n">
        <f aca="false">J43*12</f>
        <v>567051</v>
      </c>
      <c r="K44" s="25" t="n">
        <f aca="false">K43*12</f>
        <v>966843</v>
      </c>
      <c r="L44" s="25" t="n">
        <f aca="false">L43*12</f>
        <v>1403238</v>
      </c>
      <c r="M44" s="25" t="n">
        <f aca="false">M43*12</f>
        <v>1492644</v>
      </c>
      <c r="N44" s="25" t="n">
        <f aca="false">N43*12</f>
        <v>1522621.71428571</v>
      </c>
      <c r="O44" s="25" t="n">
        <f aca="false">O43*12</f>
        <v>958735.636363637</v>
      </c>
      <c r="P44" s="25" t="n">
        <f aca="false">P43*12</f>
        <v>963159.323076923</v>
      </c>
      <c r="Q44" s="25" t="n">
        <f aca="false">Q43*12</f>
        <v>877121.25</v>
      </c>
      <c r="R44" s="25" t="n">
        <f aca="false">R43*12</f>
        <v>867666.266666667</v>
      </c>
      <c r="S44" s="25" t="n">
        <f aca="false">S43*12</f>
        <v>986133.6</v>
      </c>
      <c r="T44" s="25" t="n">
        <f aca="false">T43</f>
        <v>428606.65</v>
      </c>
      <c r="U44" s="25"/>
      <c r="V44" s="25" t="n">
        <f aca="false">V43*12</f>
        <v>967573.6</v>
      </c>
      <c r="W44" s="25" t="n">
        <f aca="false">W43*12</f>
        <v>1266415.35</v>
      </c>
      <c r="X44" s="25" t="n">
        <f aca="false">X43*12</f>
        <v>1431689.25</v>
      </c>
      <c r="Y44" s="25" t="n">
        <f aca="false">Y43*12</f>
        <v>1691731.84258065</v>
      </c>
      <c r="Z44" s="25" t="n">
        <f aca="false">Z43*12</f>
        <v>2182392.64363636</v>
      </c>
      <c r="AA44" s="25" t="n">
        <f aca="false">AA43*12</f>
        <v>2727761.43942857</v>
      </c>
      <c r="AB44" s="25" t="n">
        <f aca="false">AB43*12</f>
        <v>3065779.01589474</v>
      </c>
      <c r="AC44" s="25" t="n">
        <f aca="false">AC43*12</f>
        <v>3315700.35582439</v>
      </c>
      <c r="AD44" s="25" t="n">
        <f aca="false">AD43*12</f>
        <v>3027495.86637172</v>
      </c>
      <c r="AE44" s="25" t="n">
        <f aca="false">AE43*12</f>
        <v>3439624.32407748</v>
      </c>
      <c r="AF44" s="25" t="n">
        <f aca="false">AF43*12</f>
        <v>3889176.34283316</v>
      </c>
      <c r="AG44" s="25" t="n">
        <f aca="false">AG43*12</f>
        <v>3913432.25087192</v>
      </c>
      <c r="AH44" s="25" t="n">
        <f aca="false">AH43</f>
        <v>2034280.72575553</v>
      </c>
      <c r="AI44" s="25"/>
      <c r="AJ44" s="25" t="n">
        <f aca="false">AJ43*12</f>
        <v>3865574.47374545</v>
      </c>
      <c r="AK44" s="25" t="n">
        <f aca="false">AK43*12</f>
        <v>4447385.96705085</v>
      </c>
      <c r="AL44" s="25" t="n">
        <f aca="false">AL43*12</f>
        <v>4702794.46532231</v>
      </c>
      <c r="AM44" s="25" t="n">
        <f aca="false">AM43*12</f>
        <v>5485281.79587097</v>
      </c>
      <c r="AN44" s="25" t="n">
        <f aca="false">AN43*12</f>
        <v>5811780.22418182</v>
      </c>
      <c r="AO44" s="25" t="n">
        <f aca="false">AO43*12</f>
        <v>6173571.12621176</v>
      </c>
      <c r="AP44" s="25" t="n">
        <f aca="false">AP43*12</f>
        <v>15443856.0333634</v>
      </c>
      <c r="AQ44" s="25" t="n">
        <f aca="false">AQ43*12</f>
        <v>15703829.6995667</v>
      </c>
      <c r="AR44" s="25" t="n">
        <f aca="false">AR43*12</f>
        <v>16003889.215427</v>
      </c>
      <c r="AS44" s="25" t="n">
        <f aca="false">AS43*12</f>
        <v>15998221.1940468</v>
      </c>
      <c r="AT44" s="25" t="n">
        <f aca="false">AT43*12</f>
        <v>16376095.5144137</v>
      </c>
      <c r="AU44" s="25" t="n">
        <f aca="false">AU43*12</f>
        <v>16690194.866697</v>
      </c>
      <c r="AV44" s="25" t="n">
        <f aca="false">AV43</f>
        <v>9557559.08498088</v>
      </c>
      <c r="AW44" s="40"/>
    </row>
  </sheetData>
  <printOptions headings="false" gridLines="false" gridLinesSet="true" horizontalCentered="false" verticalCentered="false"/>
  <pageMargins left="0.7875" right="0.7875" top="1.025" bottom="1.025" header="0.7875" footer="0.7875"/>
  <pageSetup paperSize="1" scale="100" firstPageNumber="1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&amp;C&amp;A</oddHeader>
    <oddFooter>&amp;CPage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U59"/>
  <sheetViews>
    <sheetView windowProtection="tru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pane xSplit="2" ySplit="0" topLeftCell="F1" activePane="topRight" state="frozen"/>
      <selection pane="topLeft" activeCell="A1" activeCellId="0" sqref="A1"/>
      <selection pane="topRight" activeCell="M25" activeCellId="0" sqref="M25"/>
    </sheetView>
  </sheetViews>
  <sheetFormatPr defaultRowHeight="12.75"/>
  <cols>
    <col collapsed="false" hidden="false" max="1" min="1" style="1" width="10.6938775510204"/>
    <col collapsed="false" hidden="false" max="2" min="2" style="1" width="34.0969387755102"/>
    <col collapsed="false" hidden="false" max="3" min="3" style="1" width="12.219387755102"/>
    <col collapsed="false" hidden="false" max="4" min="4" style="1" width="13.0561224489796"/>
    <col collapsed="false" hidden="false" max="15" min="5" style="1" width="13.5714285714286"/>
    <col collapsed="false" hidden="false" max="16" min="16" style="1" width="2.91836734693878"/>
    <col collapsed="false" hidden="false" max="18" min="17" style="1" width="13.5714285714286"/>
    <col collapsed="false" hidden="false" max="19" min="19" style="1" width="13.3724489795918"/>
    <col collapsed="false" hidden="false" max="255" min="20" style="1" width="13.5714285714286"/>
  </cols>
  <sheetData>
    <row r="1" customFormat="false" ht="19.35" hidden="false" customHeight="false" outlineLevel="0" collapsed="false">
      <c r="A1" s="52" t="s">
        <v>0</v>
      </c>
      <c r="B1" s="53"/>
      <c r="C1" s="54"/>
      <c r="D1" s="54"/>
      <c r="E1" s="54"/>
      <c r="F1" s="54"/>
      <c r="G1" s="54"/>
      <c r="H1" s="54"/>
      <c r="I1" s="55"/>
    </row>
    <row r="2" customFormat="false" ht="12.75" hidden="false" customHeight="false" outlineLevel="0" collapsed="false">
      <c r="A2" s="56" t="s">
        <v>65</v>
      </c>
      <c r="B2" s="54"/>
      <c r="C2" s="54"/>
      <c r="D2" s="54"/>
      <c r="E2" s="54"/>
      <c r="F2" s="54"/>
      <c r="G2" s="54"/>
      <c r="H2" s="54"/>
      <c r="I2" s="54"/>
    </row>
    <row r="3" customFormat="false" ht="14.65" hidden="false" customHeight="false" outlineLevel="0" collapsed="false">
      <c r="A3" s="54"/>
      <c r="B3" s="54"/>
      <c r="C3" s="29"/>
      <c r="D3" s="57"/>
      <c r="E3" s="57"/>
      <c r="F3" s="57"/>
      <c r="G3" s="57"/>
      <c r="H3" s="57"/>
      <c r="I3" s="57"/>
    </row>
    <row r="4" customFormat="false" ht="14.65" hidden="false" customHeight="false" outlineLevel="0" collapsed="false">
      <c r="A4" s="58"/>
      <c r="B4" s="58"/>
      <c r="C4" s="37" t="s">
        <v>25</v>
      </c>
      <c r="D4" s="37" t="s">
        <v>26</v>
      </c>
      <c r="E4" s="37" t="s">
        <v>27</v>
      </c>
      <c r="F4" s="37" t="s">
        <v>28</v>
      </c>
      <c r="G4" s="37" t="s">
        <v>29</v>
      </c>
      <c r="H4" s="37" t="s">
        <v>30</v>
      </c>
      <c r="I4" s="37" t="s">
        <v>31</v>
      </c>
      <c r="J4" s="37" t="s">
        <v>32</v>
      </c>
      <c r="K4" s="37" t="s">
        <v>33</v>
      </c>
      <c r="L4" s="37" t="s">
        <v>34</v>
      </c>
      <c r="M4" s="37" t="s">
        <v>35</v>
      </c>
      <c r="N4" s="37" t="s">
        <v>36</v>
      </c>
      <c r="O4" s="59" t="s">
        <v>66</v>
      </c>
      <c r="Q4" s="37" t="s">
        <v>25</v>
      </c>
      <c r="R4" s="37" t="s">
        <v>26</v>
      </c>
      <c r="S4" s="37" t="s">
        <v>27</v>
      </c>
      <c r="T4" s="37" t="s">
        <v>28</v>
      </c>
      <c r="U4" s="37" t="s">
        <v>29</v>
      </c>
      <c r="V4" s="37" t="s">
        <v>30</v>
      </c>
      <c r="W4" s="37" t="s">
        <v>31</v>
      </c>
      <c r="X4" s="37" t="s">
        <v>32</v>
      </c>
      <c r="Y4" s="37" t="s">
        <v>33</v>
      </c>
      <c r="Z4" s="37" t="s">
        <v>34</v>
      </c>
      <c r="AA4" s="37" t="s">
        <v>35</v>
      </c>
      <c r="AB4" s="60" t="s">
        <v>36</v>
      </c>
      <c r="AC4" s="61" t="s">
        <v>67</v>
      </c>
    </row>
    <row r="5" customFormat="false" ht="14.65" hidden="false" customHeight="false" outlineLevel="0" collapsed="false">
      <c r="A5" s="62" t="s">
        <v>68</v>
      </c>
      <c r="B5" s="62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AB5" s="64"/>
    </row>
    <row r="6" customFormat="false" ht="14.65" hidden="false" customHeight="false" outlineLevel="0" collapsed="false">
      <c r="A6" s="62"/>
      <c r="B6" s="62" t="s">
        <v>69</v>
      </c>
      <c r="C6" s="63" t="n">
        <v>0</v>
      </c>
      <c r="D6" s="63" t="n">
        <f aca="false">C6</f>
        <v>0</v>
      </c>
      <c r="E6" s="63" t="n">
        <v>500</v>
      </c>
      <c r="F6" s="63" t="n">
        <f aca="false">E6</f>
        <v>500</v>
      </c>
      <c r="G6" s="63" t="n">
        <f aca="false">F6*1.5</f>
        <v>750</v>
      </c>
      <c r="H6" s="63" t="n">
        <f aca="false">G6</f>
        <v>750</v>
      </c>
      <c r="I6" s="63" t="n">
        <v>500</v>
      </c>
      <c r="J6" s="63" t="n">
        <f aca="false">I6*1.2</f>
        <v>600</v>
      </c>
      <c r="K6" s="63" t="n">
        <f aca="false">J6*1.2</f>
        <v>720</v>
      </c>
      <c r="L6" s="65" t="n">
        <f aca="false">K6*1.2</f>
        <v>864</v>
      </c>
      <c r="M6" s="65" t="n">
        <f aca="false">L6*1.2</f>
        <v>1036.8</v>
      </c>
      <c r="N6" s="66" t="n">
        <f aca="false">M6*1.2</f>
        <v>1244.16</v>
      </c>
      <c r="O6" s="63" t="n">
        <f aca="false">SUM(C6:N6)</f>
        <v>7464.96</v>
      </c>
      <c r="Q6" s="65" t="n">
        <v>20000</v>
      </c>
      <c r="R6" s="65" t="n">
        <f aca="false">Q6*1.1</f>
        <v>22000</v>
      </c>
      <c r="S6" s="65" t="n">
        <f aca="false">R6*1.1</f>
        <v>24200</v>
      </c>
      <c r="T6" s="65" t="n">
        <f aca="false">S6*1.05</f>
        <v>25410</v>
      </c>
      <c r="U6" s="65" t="n">
        <f aca="false">T6*1.05</f>
        <v>26680.5</v>
      </c>
      <c r="V6" s="65" t="n">
        <f aca="false">U6*1.05</f>
        <v>28014.525</v>
      </c>
      <c r="W6" s="65" t="n">
        <f aca="false">V6*1.05</f>
        <v>29415.25125</v>
      </c>
      <c r="X6" s="65" t="n">
        <f aca="false">W6*1.05</f>
        <v>30886.0138125</v>
      </c>
      <c r="Y6" s="65" t="n">
        <f aca="false">X6*1.05</f>
        <v>32430.314503125</v>
      </c>
      <c r="Z6" s="65" t="n">
        <f aca="false">Y6*1.05</f>
        <v>34051.8302282813</v>
      </c>
      <c r="AA6" s="65" t="n">
        <f aca="false">Z6*1.05</f>
        <v>35754.4217396953</v>
      </c>
      <c r="AB6" s="66" t="n">
        <f aca="false">AA6*1.05</f>
        <v>37542.1428266801</v>
      </c>
      <c r="AC6" s="63" t="n">
        <f aca="false">SUM(Q6:AB6)</f>
        <v>346384.999360282</v>
      </c>
    </row>
    <row r="7" customFormat="false" ht="14.65" hidden="false" customHeight="false" outlineLevel="0" collapsed="false">
      <c r="A7" s="62"/>
      <c r="B7" s="62" t="s">
        <v>70</v>
      </c>
      <c r="C7" s="63" t="n">
        <v>0</v>
      </c>
      <c r="D7" s="63" t="n">
        <v>0</v>
      </c>
      <c r="E7" s="63" t="n">
        <v>0</v>
      </c>
      <c r="F7" s="63" t="n">
        <v>0</v>
      </c>
      <c r="G7" s="63" t="n">
        <v>0</v>
      </c>
      <c r="H7" s="63" t="n">
        <v>0</v>
      </c>
      <c r="I7" s="63" t="n">
        <v>0</v>
      </c>
      <c r="J7" s="63" t="n">
        <v>0</v>
      </c>
      <c r="K7" s="63" t="n">
        <v>0</v>
      </c>
      <c r="L7" s="63" t="n">
        <v>0</v>
      </c>
      <c r="M7" s="63" t="n">
        <v>0</v>
      </c>
      <c r="N7" s="67" t="n">
        <v>0</v>
      </c>
      <c r="O7" s="63" t="n">
        <v>0</v>
      </c>
      <c r="Q7" s="65" t="n">
        <f aca="false">N7</f>
        <v>0</v>
      </c>
      <c r="AB7" s="64"/>
      <c r="AC7" s="63" t="n">
        <f aca="false">SUM(Q7:AB7)</f>
        <v>0</v>
      </c>
    </row>
    <row r="8" customFormat="false" ht="14.65" hidden="false" customHeight="false" outlineLevel="0" collapsed="false">
      <c r="A8" s="62"/>
      <c r="B8" s="62" t="s">
        <v>71</v>
      </c>
      <c r="C8" s="63" t="n">
        <v>0</v>
      </c>
      <c r="D8" s="63" t="n">
        <v>0</v>
      </c>
      <c r="E8" s="63" t="n">
        <v>0</v>
      </c>
      <c r="F8" s="63" t="n">
        <v>0</v>
      </c>
      <c r="G8" s="63" t="n">
        <v>0</v>
      </c>
      <c r="H8" s="63" t="n">
        <v>0</v>
      </c>
      <c r="I8" s="63" t="n">
        <v>0</v>
      </c>
      <c r="J8" s="63" t="n">
        <v>0</v>
      </c>
      <c r="K8" s="63" t="n">
        <v>0</v>
      </c>
      <c r="L8" s="63" t="n">
        <v>0</v>
      </c>
      <c r="M8" s="63" t="n">
        <v>0</v>
      </c>
      <c r="N8" s="67" t="n">
        <v>0</v>
      </c>
      <c r="O8" s="63" t="n">
        <v>0</v>
      </c>
      <c r="Q8" s="65" t="n">
        <f aca="false">N8</f>
        <v>0</v>
      </c>
      <c r="AB8" s="64"/>
      <c r="AC8" s="63" t="n">
        <f aca="false">SUM(Q8:AB8)</f>
        <v>0</v>
      </c>
    </row>
    <row r="9" customFormat="false" ht="14.65" hidden="false" customHeight="false" outlineLevel="0" collapsed="false">
      <c r="A9" s="62"/>
      <c r="B9" s="62" t="s">
        <v>72</v>
      </c>
      <c r="C9" s="63" t="n">
        <v>500</v>
      </c>
      <c r="D9" s="63" t="n">
        <v>1000</v>
      </c>
      <c r="E9" s="63" t="n">
        <v>1000</v>
      </c>
      <c r="F9" s="63" t="n">
        <v>0</v>
      </c>
      <c r="G9" s="63" t="n">
        <v>500</v>
      </c>
      <c r="H9" s="63" t="n">
        <v>2000</v>
      </c>
      <c r="I9" s="63" t="n">
        <v>1000</v>
      </c>
      <c r="J9" s="63" t="n">
        <v>1000</v>
      </c>
      <c r="K9" s="63" t="n">
        <v>0</v>
      </c>
      <c r="L9" s="63" t="n">
        <v>2000</v>
      </c>
      <c r="M9" s="63" t="n">
        <v>1000</v>
      </c>
      <c r="N9" s="67" t="n">
        <v>1000</v>
      </c>
      <c r="O9" s="63" t="n">
        <f aca="false">SUM(C9:N9)</f>
        <v>11000</v>
      </c>
      <c r="Q9" s="65" t="n">
        <v>10000</v>
      </c>
      <c r="R9" s="65" t="n">
        <v>10000</v>
      </c>
      <c r="S9" s="65" t="n">
        <v>10000</v>
      </c>
      <c r="T9" s="65" t="n">
        <v>10000</v>
      </c>
      <c r="U9" s="65" t="n">
        <v>12000</v>
      </c>
      <c r="V9" s="68" t="n">
        <v>12000</v>
      </c>
      <c r="W9" s="65" t="n">
        <v>12000</v>
      </c>
      <c r="X9" s="68" t="n">
        <v>12000</v>
      </c>
      <c r="Y9" s="68" t="n">
        <v>18000</v>
      </c>
      <c r="Z9" s="68" t="n">
        <v>18000</v>
      </c>
      <c r="AA9" s="68" t="n">
        <v>18000</v>
      </c>
      <c r="AB9" s="69" t="n">
        <v>18000</v>
      </c>
      <c r="AC9" s="63" t="n">
        <f aca="false">SUM(Q9:AB9)</f>
        <v>160000</v>
      </c>
    </row>
    <row r="10" customFormat="false" ht="14.65" hidden="false" customHeight="false" outlineLevel="0" collapsed="false">
      <c r="A10" s="62"/>
      <c r="B10" s="62" t="s">
        <v>73</v>
      </c>
      <c r="C10" s="63" t="n">
        <v>0</v>
      </c>
      <c r="D10" s="63" t="n">
        <v>0</v>
      </c>
      <c r="E10" s="63" t="n">
        <v>0</v>
      </c>
      <c r="F10" s="63" t="n">
        <v>0</v>
      </c>
      <c r="G10" s="63" t="n">
        <v>0</v>
      </c>
      <c r="H10" s="63" t="n">
        <v>0</v>
      </c>
      <c r="I10" s="63" t="n">
        <v>0</v>
      </c>
      <c r="J10" s="63" t="n">
        <v>0</v>
      </c>
      <c r="K10" s="63" t="n">
        <v>0</v>
      </c>
      <c r="L10" s="63" t="n">
        <v>0</v>
      </c>
      <c r="M10" s="63" t="n">
        <v>0</v>
      </c>
      <c r="N10" s="67" t="n">
        <v>0</v>
      </c>
      <c r="O10" s="63" t="n">
        <v>0</v>
      </c>
      <c r="Q10" s="65" t="n">
        <f aca="false">N10</f>
        <v>0</v>
      </c>
      <c r="AB10" s="64"/>
      <c r="AC10" s="63" t="n">
        <f aca="false">SUM(Q10:AB10)</f>
        <v>0</v>
      </c>
    </row>
    <row r="11" customFormat="false" ht="14.65" hidden="false" customHeight="false" outlineLevel="0" collapsed="false">
      <c r="A11" s="62"/>
      <c r="B11" s="62" t="s">
        <v>74</v>
      </c>
      <c r="C11" s="63" t="n">
        <v>0</v>
      </c>
      <c r="D11" s="63" t="n">
        <v>0</v>
      </c>
      <c r="E11" s="63" t="n">
        <v>0</v>
      </c>
      <c r="F11" s="63" t="n">
        <v>0</v>
      </c>
      <c r="G11" s="63" t="n">
        <v>0</v>
      </c>
      <c r="H11" s="63" t="n">
        <v>0</v>
      </c>
      <c r="I11" s="63" t="n">
        <v>0</v>
      </c>
      <c r="J11" s="63" t="n">
        <v>0</v>
      </c>
      <c r="K11" s="63" t="n">
        <v>0</v>
      </c>
      <c r="L11" s="63" t="n">
        <v>0</v>
      </c>
      <c r="M11" s="63" t="n">
        <v>0</v>
      </c>
      <c r="N11" s="67" t="n">
        <v>0</v>
      </c>
      <c r="O11" s="63" t="n">
        <v>0</v>
      </c>
      <c r="Q11" s="65" t="n">
        <f aca="false">N11</f>
        <v>0</v>
      </c>
      <c r="AB11" s="64"/>
      <c r="AC11" s="63" t="n">
        <f aca="false">SUM(Q11:AB11)</f>
        <v>0</v>
      </c>
    </row>
    <row r="12" customFormat="false" ht="14.65" hidden="false" customHeight="false" outlineLevel="0" collapsed="false">
      <c r="A12" s="62"/>
      <c r="B12" s="62" t="s">
        <v>75</v>
      </c>
      <c r="C12" s="63" t="n">
        <v>0</v>
      </c>
      <c r="D12" s="63" t="n">
        <v>0</v>
      </c>
      <c r="E12" s="63" t="n">
        <v>0</v>
      </c>
      <c r="F12" s="63" t="n">
        <v>0</v>
      </c>
      <c r="G12" s="63" t="n">
        <v>0</v>
      </c>
      <c r="H12" s="63" t="n">
        <v>0</v>
      </c>
      <c r="I12" s="63" t="n">
        <v>0</v>
      </c>
      <c r="J12" s="63" t="n">
        <v>0</v>
      </c>
      <c r="K12" s="63" t="n">
        <v>0</v>
      </c>
      <c r="L12" s="63" t="n">
        <v>0</v>
      </c>
      <c r="M12" s="63" t="n">
        <v>0</v>
      </c>
      <c r="N12" s="67" t="n">
        <v>0</v>
      </c>
      <c r="O12" s="63" t="n">
        <v>0</v>
      </c>
      <c r="Q12" s="65" t="n">
        <f aca="false">N12</f>
        <v>0</v>
      </c>
      <c r="AB12" s="64"/>
      <c r="AC12" s="63" t="n">
        <f aca="false">SUM(Q12:AB12)</f>
        <v>0</v>
      </c>
    </row>
    <row r="13" customFormat="false" ht="14.65" hidden="false" customHeight="false" outlineLevel="0" collapsed="false">
      <c r="A13" s="62"/>
      <c r="B13" s="62" t="s">
        <v>76</v>
      </c>
      <c r="C13" s="63" t="n">
        <v>0</v>
      </c>
      <c r="D13" s="63" t="n">
        <v>0</v>
      </c>
      <c r="E13" s="63" t="n">
        <v>0</v>
      </c>
      <c r="F13" s="63" t="n">
        <v>0</v>
      </c>
      <c r="G13" s="63" t="n">
        <v>0</v>
      </c>
      <c r="H13" s="63" t="n">
        <v>0</v>
      </c>
      <c r="I13" s="63" t="n">
        <v>0</v>
      </c>
      <c r="J13" s="63" t="n">
        <v>0</v>
      </c>
      <c r="K13" s="63" t="n">
        <v>0</v>
      </c>
      <c r="L13" s="63" t="n">
        <v>0</v>
      </c>
      <c r="M13" s="63" t="n">
        <v>0</v>
      </c>
      <c r="N13" s="67" t="n">
        <v>0</v>
      </c>
      <c r="O13" s="63" t="n">
        <v>0</v>
      </c>
      <c r="Q13" s="65" t="n">
        <f aca="false">N13</f>
        <v>0</v>
      </c>
      <c r="AB13" s="64"/>
      <c r="AC13" s="63" t="n">
        <f aca="false">SUM(Q13:AB13)</f>
        <v>0</v>
      </c>
    </row>
    <row r="14" customFormat="false" ht="14.65" hidden="false" customHeight="false" outlineLevel="0" collapsed="false">
      <c r="A14" s="62"/>
      <c r="B14" s="62" t="s">
        <v>77</v>
      </c>
      <c r="C14" s="63" t="n">
        <v>0</v>
      </c>
      <c r="D14" s="63" t="n">
        <v>0</v>
      </c>
      <c r="E14" s="63" t="n">
        <v>0</v>
      </c>
      <c r="F14" s="63" t="n">
        <v>0</v>
      </c>
      <c r="G14" s="63" t="n">
        <v>0</v>
      </c>
      <c r="H14" s="63" t="n">
        <v>0</v>
      </c>
      <c r="I14" s="63" t="n">
        <v>500</v>
      </c>
      <c r="J14" s="63" t="n">
        <v>1000</v>
      </c>
      <c r="K14" s="63" t="n">
        <v>1000</v>
      </c>
      <c r="L14" s="63" t="n">
        <v>1000</v>
      </c>
      <c r="M14" s="63" t="n">
        <v>1000</v>
      </c>
      <c r="N14" s="67" t="n">
        <v>1000</v>
      </c>
      <c r="O14" s="63" t="n">
        <f aca="false">SUM(C14:N14)</f>
        <v>5500</v>
      </c>
      <c r="Q14" s="65" t="n">
        <v>20000</v>
      </c>
      <c r="R14" s="65" t="n">
        <f aca="false">Q14*1.1</f>
        <v>22000</v>
      </c>
      <c r="S14" s="65" t="n">
        <f aca="false">R14*1.1</f>
        <v>24200</v>
      </c>
      <c r="T14" s="65" t="n">
        <f aca="false">S14*1.1</f>
        <v>26620</v>
      </c>
      <c r="U14" s="65" t="n">
        <f aca="false">T14*1.1</f>
        <v>29282</v>
      </c>
      <c r="V14" s="65" t="n">
        <f aca="false">U14*1.1</f>
        <v>32210.2</v>
      </c>
      <c r="W14" s="65" t="n">
        <f aca="false">V14*1.1</f>
        <v>35431.22</v>
      </c>
      <c r="X14" s="65" t="n">
        <f aca="false">W14*1.1</f>
        <v>38974.342</v>
      </c>
      <c r="Y14" s="65" t="n">
        <f aca="false">X14*1.1</f>
        <v>42871.7762</v>
      </c>
      <c r="Z14" s="65" t="n">
        <f aca="false">Y14*1.1</f>
        <v>47158.95382</v>
      </c>
      <c r="AA14" s="65" t="n">
        <f aca="false">Z14*1.1</f>
        <v>51874.849202</v>
      </c>
      <c r="AB14" s="66" t="n">
        <f aca="false">AA14*1.1</f>
        <v>57062.3341222001</v>
      </c>
      <c r="AC14" s="63" t="n">
        <f aca="false">SUM(Q14:AB14)</f>
        <v>427685.6753442</v>
      </c>
    </row>
    <row r="15" customFormat="false" ht="14.65" hidden="false" customHeight="false" outlineLevel="0" collapsed="false">
      <c r="A15" s="62"/>
      <c r="B15" s="62" t="s">
        <v>78</v>
      </c>
      <c r="C15" s="63" t="n">
        <v>83</v>
      </c>
      <c r="D15" s="63" t="n">
        <v>83</v>
      </c>
      <c r="E15" s="63" t="n">
        <v>83</v>
      </c>
      <c r="F15" s="63" t="n">
        <v>83</v>
      </c>
      <c r="G15" s="63" t="n">
        <v>83</v>
      </c>
      <c r="H15" s="63" t="n">
        <v>83</v>
      </c>
      <c r="I15" s="63" t="n">
        <v>83</v>
      </c>
      <c r="J15" s="63" t="n">
        <v>83</v>
      </c>
      <c r="K15" s="63" t="n">
        <v>83</v>
      </c>
      <c r="L15" s="63" t="n">
        <v>83</v>
      </c>
      <c r="M15" s="63" t="n">
        <v>83</v>
      </c>
      <c r="N15" s="67" t="n">
        <v>83</v>
      </c>
      <c r="O15" s="63" t="n">
        <f aca="false">SUM(C15:N15)</f>
        <v>996</v>
      </c>
      <c r="Q15" s="65" t="n">
        <f aca="false">N15</f>
        <v>83</v>
      </c>
      <c r="AB15" s="64"/>
      <c r="AC15" s="63" t="n">
        <f aca="false">SUM(Q15:AB15)</f>
        <v>83</v>
      </c>
    </row>
    <row r="16" customFormat="false" ht="14.65" hidden="false" customHeight="false" outlineLevel="0" collapsed="false">
      <c r="A16" s="62"/>
      <c r="B16" s="62" t="s">
        <v>79</v>
      </c>
      <c r="C16" s="63" t="n">
        <v>500</v>
      </c>
      <c r="D16" s="63" t="n">
        <v>2000</v>
      </c>
      <c r="E16" s="63" t="n">
        <v>500</v>
      </c>
      <c r="F16" s="63" t="n">
        <v>500</v>
      </c>
      <c r="G16" s="63" t="n">
        <v>1000</v>
      </c>
      <c r="H16" s="63" t="n">
        <v>25000</v>
      </c>
      <c r="I16" s="63" t="n">
        <v>3833</v>
      </c>
      <c r="J16" s="63" t="n">
        <v>3333</v>
      </c>
      <c r="K16" s="63" t="n">
        <v>20000</v>
      </c>
      <c r="L16" s="63" t="n">
        <v>3333</v>
      </c>
      <c r="M16" s="63" t="n">
        <v>3333</v>
      </c>
      <c r="N16" s="67" t="n">
        <v>3333</v>
      </c>
      <c r="O16" s="63" t="n">
        <f aca="false">SUM(C16:N16)</f>
        <v>66665</v>
      </c>
      <c r="Q16" s="65" t="n">
        <v>4500</v>
      </c>
      <c r="R16" s="68" t="n">
        <v>25000</v>
      </c>
      <c r="S16" s="70" t="n">
        <f aca="false">R16*1.1</f>
        <v>27500</v>
      </c>
      <c r="T16" s="70" t="n">
        <f aca="false">S16*1.1</f>
        <v>30250</v>
      </c>
      <c r="U16" s="70" t="n">
        <f aca="false">T16*1.1</f>
        <v>33275</v>
      </c>
      <c r="V16" s="70" t="n">
        <f aca="false">U16*1.1</f>
        <v>36602.5</v>
      </c>
      <c r="W16" s="70" t="n">
        <f aca="false">V16*1.1</f>
        <v>40262.75</v>
      </c>
      <c r="X16" s="70" t="n">
        <f aca="false">W16*1.1</f>
        <v>44289.025</v>
      </c>
      <c r="Y16" s="70" t="n">
        <f aca="false">X16*1.1</f>
        <v>48717.9275</v>
      </c>
      <c r="Z16" s="70" t="n">
        <f aca="false">Y16*1.1</f>
        <v>53589.72025</v>
      </c>
      <c r="AA16" s="70" t="n">
        <f aca="false">Z16*1.1</f>
        <v>58948.6922750001</v>
      </c>
      <c r="AB16" s="71" t="n">
        <f aca="false">AA16*1.1</f>
        <v>64843.5615025001</v>
      </c>
      <c r="AC16" s="63" t="n">
        <f aca="false">SUM(Q16:AB16)</f>
        <v>467779.1765275</v>
      </c>
    </row>
    <row r="17" s="78" customFormat="true" ht="13.45" hidden="false" customHeight="false" outlineLevel="0" collapsed="false">
      <c r="A17" s="72"/>
      <c r="B17" s="72" t="s">
        <v>80</v>
      </c>
      <c r="C17" s="73" t="n">
        <v>150</v>
      </c>
      <c r="D17" s="73" t="n">
        <v>250</v>
      </c>
      <c r="E17" s="73" t="n">
        <v>150</v>
      </c>
      <c r="F17" s="73" t="n">
        <v>50</v>
      </c>
      <c r="G17" s="73" t="n">
        <v>50</v>
      </c>
      <c r="H17" s="73" t="n">
        <v>100</v>
      </c>
      <c r="I17" s="73" t="n">
        <v>100</v>
      </c>
      <c r="J17" s="73" t="n">
        <v>250</v>
      </c>
      <c r="K17" s="73" t="n">
        <v>100</v>
      </c>
      <c r="L17" s="73" t="n">
        <v>100</v>
      </c>
      <c r="M17" s="73" t="n">
        <v>100</v>
      </c>
      <c r="N17" s="74" t="n">
        <v>100</v>
      </c>
      <c r="O17" s="73" t="n">
        <f aca="false">SUM(C17:N17)</f>
        <v>1500</v>
      </c>
      <c r="P17" s="75"/>
      <c r="Q17" s="76" t="n">
        <v>1000</v>
      </c>
      <c r="R17" s="75" t="n">
        <f aca="false">Q17</f>
        <v>1000</v>
      </c>
      <c r="S17" s="75" t="n">
        <f aca="false">R17</f>
        <v>1000</v>
      </c>
      <c r="T17" s="75" t="n">
        <f aca="false">S17</f>
        <v>1000</v>
      </c>
      <c r="U17" s="75" t="n">
        <f aca="false">T17*1.5</f>
        <v>1500</v>
      </c>
      <c r="V17" s="75" t="n">
        <f aca="false">U17</f>
        <v>1500</v>
      </c>
      <c r="W17" s="75" t="n">
        <f aca="false">V17</f>
        <v>1500</v>
      </c>
      <c r="X17" s="75" t="n">
        <f aca="false">W17</f>
        <v>1500</v>
      </c>
      <c r="Y17" s="75" t="n">
        <f aca="false">X17</f>
        <v>1500</v>
      </c>
      <c r="Z17" s="75" t="n">
        <f aca="false">Y17*1.5</f>
        <v>2250</v>
      </c>
      <c r="AA17" s="75" t="n">
        <f aca="false">Z17</f>
        <v>2250</v>
      </c>
      <c r="AB17" s="77" t="n">
        <f aca="false">AA17</f>
        <v>2250</v>
      </c>
      <c r="AC17" s="63" t="n">
        <f aca="false">SUM(Q17:AB17)</f>
        <v>18250</v>
      </c>
      <c r="AD17" s="75"/>
      <c r="AE17" s="75"/>
      <c r="AF17" s="75"/>
      <c r="AG17" s="75"/>
      <c r="AH17" s="75"/>
      <c r="AI17" s="75"/>
      <c r="AJ17" s="75"/>
      <c r="AK17" s="75"/>
      <c r="AL17" s="75"/>
      <c r="AM17" s="75"/>
      <c r="AN17" s="75"/>
      <c r="AO17" s="75"/>
      <c r="AP17" s="75"/>
      <c r="AQ17" s="75"/>
      <c r="AR17" s="75"/>
      <c r="AS17" s="75"/>
      <c r="AT17" s="75"/>
      <c r="AU17" s="75"/>
      <c r="AV17" s="75"/>
      <c r="AW17" s="75"/>
      <c r="AX17" s="75"/>
      <c r="AY17" s="75"/>
      <c r="AZ17" s="75"/>
      <c r="BA17" s="75"/>
      <c r="BB17" s="75"/>
      <c r="BC17" s="75"/>
      <c r="BD17" s="75"/>
      <c r="BE17" s="75"/>
      <c r="BF17" s="75"/>
      <c r="BG17" s="75"/>
      <c r="BH17" s="75"/>
      <c r="BI17" s="75"/>
      <c r="BJ17" s="75"/>
      <c r="BK17" s="75"/>
      <c r="BL17" s="75"/>
      <c r="BM17" s="75"/>
      <c r="BN17" s="75"/>
      <c r="BO17" s="75"/>
      <c r="BP17" s="75"/>
      <c r="BQ17" s="75"/>
      <c r="BR17" s="75"/>
      <c r="BS17" s="75"/>
      <c r="BT17" s="75"/>
      <c r="BU17" s="75"/>
      <c r="BV17" s="75"/>
      <c r="BW17" s="75"/>
      <c r="BX17" s="75"/>
      <c r="BY17" s="75"/>
      <c r="BZ17" s="75"/>
      <c r="CA17" s="75"/>
      <c r="CB17" s="75"/>
      <c r="CC17" s="75"/>
      <c r="CD17" s="75"/>
      <c r="CE17" s="75"/>
      <c r="CF17" s="75"/>
      <c r="CG17" s="75"/>
      <c r="CH17" s="75"/>
      <c r="CI17" s="75"/>
      <c r="CJ17" s="75"/>
      <c r="CK17" s="75"/>
      <c r="CL17" s="75"/>
      <c r="CM17" s="75"/>
      <c r="CN17" s="75"/>
      <c r="CO17" s="75"/>
      <c r="CP17" s="75"/>
      <c r="CQ17" s="75"/>
      <c r="CR17" s="75"/>
      <c r="CS17" s="75"/>
      <c r="CT17" s="75"/>
      <c r="CU17" s="75"/>
      <c r="CV17" s="75"/>
      <c r="CW17" s="75"/>
      <c r="CX17" s="75"/>
      <c r="CY17" s="75"/>
      <c r="CZ17" s="75"/>
      <c r="DA17" s="75"/>
      <c r="DB17" s="75"/>
      <c r="DC17" s="75"/>
      <c r="DD17" s="75"/>
      <c r="DE17" s="75"/>
      <c r="DF17" s="75"/>
      <c r="DG17" s="75"/>
      <c r="DH17" s="75"/>
      <c r="DI17" s="75"/>
      <c r="DJ17" s="75"/>
      <c r="DK17" s="75"/>
      <c r="DL17" s="75"/>
      <c r="DM17" s="75"/>
      <c r="DN17" s="75"/>
      <c r="DO17" s="75"/>
      <c r="DP17" s="75"/>
      <c r="DQ17" s="75"/>
      <c r="DR17" s="75"/>
      <c r="DS17" s="75"/>
      <c r="DT17" s="75"/>
      <c r="DU17" s="75"/>
      <c r="DV17" s="75"/>
      <c r="DW17" s="75"/>
      <c r="DX17" s="75"/>
      <c r="DY17" s="75"/>
      <c r="DZ17" s="75"/>
      <c r="EA17" s="75"/>
      <c r="EB17" s="75"/>
      <c r="EC17" s="75"/>
      <c r="ED17" s="75"/>
      <c r="EE17" s="75"/>
      <c r="EF17" s="75"/>
      <c r="EG17" s="75"/>
      <c r="EH17" s="75"/>
      <c r="EI17" s="75"/>
      <c r="EJ17" s="75"/>
      <c r="EK17" s="75"/>
      <c r="EL17" s="75"/>
      <c r="EM17" s="75"/>
      <c r="EN17" s="75"/>
      <c r="EO17" s="75"/>
      <c r="EP17" s="75"/>
      <c r="EQ17" s="75"/>
      <c r="ER17" s="75"/>
      <c r="ES17" s="75"/>
      <c r="ET17" s="75"/>
      <c r="EU17" s="75"/>
      <c r="EV17" s="75"/>
      <c r="EW17" s="75"/>
      <c r="EX17" s="75"/>
      <c r="EY17" s="75"/>
      <c r="EZ17" s="75"/>
      <c r="FA17" s="75"/>
      <c r="FB17" s="75"/>
      <c r="FC17" s="75"/>
      <c r="FD17" s="75"/>
      <c r="FE17" s="75"/>
      <c r="FF17" s="75"/>
      <c r="FG17" s="75"/>
      <c r="FH17" s="75"/>
      <c r="FI17" s="75"/>
      <c r="FJ17" s="75"/>
      <c r="FK17" s="75"/>
      <c r="FL17" s="75"/>
      <c r="FM17" s="75"/>
      <c r="FN17" s="75"/>
      <c r="FO17" s="75"/>
      <c r="FP17" s="75"/>
      <c r="FQ17" s="75"/>
      <c r="FR17" s="75"/>
      <c r="FS17" s="75"/>
      <c r="FT17" s="75"/>
      <c r="FU17" s="75"/>
      <c r="FV17" s="75"/>
      <c r="FW17" s="75"/>
      <c r="FX17" s="75"/>
      <c r="FY17" s="75"/>
      <c r="FZ17" s="75"/>
      <c r="GA17" s="75"/>
      <c r="GB17" s="75"/>
      <c r="GC17" s="75"/>
      <c r="GD17" s="75"/>
      <c r="GE17" s="75"/>
      <c r="GF17" s="75"/>
      <c r="GG17" s="75"/>
      <c r="GH17" s="75"/>
      <c r="GI17" s="75"/>
      <c r="GJ17" s="75"/>
      <c r="GK17" s="75"/>
      <c r="GL17" s="75"/>
      <c r="GM17" s="75"/>
      <c r="GN17" s="75"/>
      <c r="GO17" s="75"/>
      <c r="GP17" s="75"/>
      <c r="GQ17" s="75"/>
      <c r="GR17" s="75"/>
      <c r="GS17" s="75"/>
      <c r="GT17" s="75"/>
      <c r="GU17" s="75"/>
      <c r="GV17" s="75"/>
      <c r="GW17" s="75"/>
      <c r="GX17" s="75"/>
      <c r="GY17" s="75"/>
      <c r="GZ17" s="75"/>
      <c r="HA17" s="75"/>
      <c r="HB17" s="75"/>
      <c r="HC17" s="75"/>
      <c r="HD17" s="75"/>
      <c r="HE17" s="75"/>
      <c r="HF17" s="75"/>
      <c r="HG17" s="75"/>
      <c r="HH17" s="75"/>
      <c r="HI17" s="75"/>
      <c r="HJ17" s="75"/>
      <c r="HK17" s="75"/>
      <c r="HL17" s="75"/>
      <c r="HM17" s="75"/>
      <c r="HN17" s="75"/>
      <c r="HO17" s="75"/>
      <c r="HP17" s="75"/>
      <c r="HQ17" s="75"/>
      <c r="HR17" s="75"/>
      <c r="HS17" s="75"/>
      <c r="HT17" s="75"/>
      <c r="HU17" s="75"/>
      <c r="HV17" s="75"/>
      <c r="HW17" s="75"/>
      <c r="HX17" s="75"/>
      <c r="HY17" s="75"/>
      <c r="HZ17" s="75"/>
      <c r="IA17" s="75"/>
      <c r="IB17" s="75"/>
      <c r="IC17" s="75"/>
      <c r="ID17" s="75"/>
      <c r="IE17" s="75"/>
      <c r="IF17" s="75"/>
      <c r="IG17" s="75"/>
      <c r="IH17" s="75"/>
      <c r="II17" s="75"/>
      <c r="IJ17" s="75"/>
      <c r="IK17" s="75"/>
      <c r="IL17" s="75"/>
      <c r="IM17" s="75"/>
      <c r="IN17" s="75"/>
      <c r="IO17" s="75"/>
      <c r="IP17" s="75"/>
      <c r="IQ17" s="75"/>
      <c r="IR17" s="75"/>
      <c r="IS17" s="75"/>
      <c r="IT17" s="75"/>
      <c r="IU17" s="75"/>
    </row>
    <row r="18" customFormat="false" ht="14.65" hidden="false" customHeight="false" outlineLevel="0" collapsed="false">
      <c r="A18" s="62"/>
      <c r="B18" s="62" t="s">
        <v>81</v>
      </c>
      <c r="C18" s="63" t="n">
        <v>25</v>
      </c>
      <c r="D18" s="63" t="n">
        <v>25</v>
      </c>
      <c r="E18" s="63" t="n">
        <v>25</v>
      </c>
      <c r="F18" s="63" t="n">
        <v>50</v>
      </c>
      <c r="G18" s="63" t="n">
        <f aca="false">F18</f>
        <v>50</v>
      </c>
      <c r="H18" s="63" t="n">
        <f aca="false">G18</f>
        <v>50</v>
      </c>
      <c r="I18" s="63" t="n">
        <f aca="false">H18</f>
        <v>50</v>
      </c>
      <c r="J18" s="63" t="n">
        <f aca="false">I18</f>
        <v>50</v>
      </c>
      <c r="K18" s="63" t="n">
        <v>100</v>
      </c>
      <c r="L18" s="63" t="n">
        <v>25</v>
      </c>
      <c r="M18" s="63" t="n">
        <f aca="false">L18</f>
        <v>25</v>
      </c>
      <c r="N18" s="63" t="n">
        <f aca="false">M18</f>
        <v>25</v>
      </c>
      <c r="O18" s="63" t="n">
        <v>0</v>
      </c>
      <c r="Q18" s="65" t="n">
        <f aca="false">N18</f>
        <v>25</v>
      </c>
      <c r="AB18" s="64"/>
      <c r="AC18" s="63" t="n">
        <f aca="false">SUM(Q18:AB18)</f>
        <v>25</v>
      </c>
    </row>
    <row r="19" s="78" customFormat="true" ht="13.45" hidden="false" customHeight="false" outlineLevel="0" collapsed="false">
      <c r="A19" s="72"/>
      <c r="B19" s="72" t="s">
        <v>82</v>
      </c>
      <c r="C19" s="73" t="n">
        <v>1000</v>
      </c>
      <c r="D19" s="73" t="n">
        <v>1000</v>
      </c>
      <c r="E19" s="73" t="n">
        <v>1000</v>
      </c>
      <c r="F19" s="73" t="n">
        <v>1000</v>
      </c>
      <c r="G19" s="73" t="n">
        <v>1000</v>
      </c>
      <c r="H19" s="73" t="n">
        <v>1000</v>
      </c>
      <c r="I19" s="73" t="n">
        <v>2000</v>
      </c>
      <c r="J19" s="73" t="n">
        <v>2000</v>
      </c>
      <c r="K19" s="73" t="n">
        <v>2000</v>
      </c>
      <c r="L19" s="73" t="n">
        <v>2000</v>
      </c>
      <c r="M19" s="73" t="n">
        <v>2000</v>
      </c>
      <c r="N19" s="74" t="n">
        <v>2000</v>
      </c>
      <c r="O19" s="73" t="n">
        <f aca="false">SUM(C19:N19)</f>
        <v>18000</v>
      </c>
      <c r="P19" s="75"/>
      <c r="Q19" s="76" t="n">
        <v>20000</v>
      </c>
      <c r="R19" s="75" t="n">
        <f aca="false">Q19</f>
        <v>20000</v>
      </c>
      <c r="S19" s="75" t="n">
        <f aca="false">R19</f>
        <v>20000</v>
      </c>
      <c r="T19" s="75" t="n">
        <f aca="false">S19</f>
        <v>20000</v>
      </c>
      <c r="U19" s="75" t="n">
        <f aca="false">T19</f>
        <v>20000</v>
      </c>
      <c r="V19" s="75" t="n">
        <f aca="false">U19</f>
        <v>20000</v>
      </c>
      <c r="W19" s="75" t="n">
        <v>40000</v>
      </c>
      <c r="X19" s="75" t="n">
        <f aca="false">W19</f>
        <v>40000</v>
      </c>
      <c r="Y19" s="75" t="n">
        <f aca="false">X19</f>
        <v>40000</v>
      </c>
      <c r="Z19" s="75" t="n">
        <f aca="false">Y19</f>
        <v>40000</v>
      </c>
      <c r="AA19" s="75" t="n">
        <f aca="false">Z19</f>
        <v>40000</v>
      </c>
      <c r="AB19" s="77" t="n">
        <f aca="false">AA19</f>
        <v>40000</v>
      </c>
      <c r="AC19" s="63" t="n">
        <f aca="false">SUM(Q19:AB19)</f>
        <v>360000</v>
      </c>
      <c r="AD19" s="75"/>
      <c r="AE19" s="75"/>
      <c r="AF19" s="75"/>
      <c r="AG19" s="75"/>
      <c r="AH19" s="75"/>
      <c r="AI19" s="75"/>
      <c r="AJ19" s="75"/>
      <c r="AK19" s="75"/>
      <c r="AL19" s="75"/>
      <c r="AM19" s="75"/>
      <c r="AN19" s="75"/>
      <c r="AO19" s="75"/>
      <c r="AP19" s="75"/>
      <c r="AQ19" s="75"/>
      <c r="AR19" s="75"/>
      <c r="AS19" s="75"/>
      <c r="AT19" s="75"/>
      <c r="AU19" s="75"/>
      <c r="AV19" s="75"/>
      <c r="AW19" s="75"/>
      <c r="AX19" s="75"/>
      <c r="AY19" s="75"/>
      <c r="AZ19" s="75"/>
      <c r="BA19" s="75"/>
      <c r="BB19" s="75"/>
      <c r="BC19" s="75"/>
      <c r="BD19" s="75"/>
      <c r="BE19" s="75"/>
      <c r="BF19" s="75"/>
      <c r="BG19" s="75"/>
      <c r="BH19" s="75"/>
      <c r="BI19" s="75"/>
      <c r="BJ19" s="75"/>
      <c r="BK19" s="75"/>
      <c r="BL19" s="75"/>
      <c r="BM19" s="75"/>
      <c r="BN19" s="75"/>
      <c r="BO19" s="75"/>
      <c r="BP19" s="75"/>
      <c r="BQ19" s="75"/>
      <c r="BR19" s="75"/>
      <c r="BS19" s="75"/>
      <c r="BT19" s="75"/>
      <c r="BU19" s="75"/>
      <c r="BV19" s="75"/>
      <c r="BW19" s="75"/>
      <c r="BX19" s="75"/>
      <c r="BY19" s="75"/>
      <c r="BZ19" s="75"/>
      <c r="CA19" s="75"/>
      <c r="CB19" s="75"/>
      <c r="CC19" s="75"/>
      <c r="CD19" s="75"/>
      <c r="CE19" s="75"/>
      <c r="CF19" s="75"/>
      <c r="CG19" s="75"/>
      <c r="CH19" s="75"/>
      <c r="CI19" s="75"/>
      <c r="CJ19" s="75"/>
      <c r="CK19" s="75"/>
      <c r="CL19" s="75"/>
      <c r="CM19" s="75"/>
      <c r="CN19" s="75"/>
      <c r="CO19" s="75"/>
      <c r="CP19" s="75"/>
      <c r="CQ19" s="75"/>
      <c r="CR19" s="75"/>
      <c r="CS19" s="75"/>
      <c r="CT19" s="75"/>
      <c r="CU19" s="75"/>
      <c r="CV19" s="75"/>
      <c r="CW19" s="75"/>
      <c r="CX19" s="75"/>
      <c r="CY19" s="75"/>
      <c r="CZ19" s="75"/>
      <c r="DA19" s="75"/>
      <c r="DB19" s="75"/>
      <c r="DC19" s="75"/>
      <c r="DD19" s="75"/>
      <c r="DE19" s="75"/>
      <c r="DF19" s="75"/>
      <c r="DG19" s="75"/>
      <c r="DH19" s="75"/>
      <c r="DI19" s="75"/>
      <c r="DJ19" s="75"/>
      <c r="DK19" s="75"/>
      <c r="DL19" s="75"/>
      <c r="DM19" s="75"/>
      <c r="DN19" s="75"/>
      <c r="DO19" s="75"/>
      <c r="DP19" s="75"/>
      <c r="DQ19" s="75"/>
      <c r="DR19" s="75"/>
      <c r="DS19" s="75"/>
      <c r="DT19" s="75"/>
      <c r="DU19" s="75"/>
      <c r="DV19" s="75"/>
      <c r="DW19" s="75"/>
      <c r="DX19" s="75"/>
      <c r="DY19" s="75"/>
      <c r="DZ19" s="75"/>
      <c r="EA19" s="75"/>
      <c r="EB19" s="75"/>
      <c r="EC19" s="75"/>
      <c r="ED19" s="75"/>
      <c r="EE19" s="75"/>
      <c r="EF19" s="75"/>
      <c r="EG19" s="75"/>
      <c r="EH19" s="75"/>
      <c r="EI19" s="75"/>
      <c r="EJ19" s="75"/>
      <c r="EK19" s="75"/>
      <c r="EL19" s="75"/>
      <c r="EM19" s="75"/>
      <c r="EN19" s="75"/>
      <c r="EO19" s="75"/>
      <c r="EP19" s="75"/>
      <c r="EQ19" s="75"/>
      <c r="ER19" s="75"/>
      <c r="ES19" s="75"/>
      <c r="ET19" s="75"/>
      <c r="EU19" s="75"/>
      <c r="EV19" s="75"/>
      <c r="EW19" s="75"/>
      <c r="EX19" s="75"/>
      <c r="EY19" s="75"/>
      <c r="EZ19" s="75"/>
      <c r="FA19" s="75"/>
      <c r="FB19" s="75"/>
      <c r="FC19" s="75"/>
      <c r="FD19" s="75"/>
      <c r="FE19" s="75"/>
      <c r="FF19" s="75"/>
      <c r="FG19" s="75"/>
      <c r="FH19" s="75"/>
      <c r="FI19" s="75"/>
      <c r="FJ19" s="75"/>
      <c r="FK19" s="75"/>
      <c r="FL19" s="75"/>
      <c r="FM19" s="75"/>
      <c r="FN19" s="75"/>
      <c r="FO19" s="75"/>
      <c r="FP19" s="75"/>
      <c r="FQ19" s="75"/>
      <c r="FR19" s="75"/>
      <c r="FS19" s="75"/>
      <c r="FT19" s="75"/>
      <c r="FU19" s="75"/>
      <c r="FV19" s="75"/>
      <c r="FW19" s="75"/>
      <c r="FX19" s="75"/>
      <c r="FY19" s="75"/>
      <c r="FZ19" s="75"/>
      <c r="GA19" s="75"/>
      <c r="GB19" s="75"/>
      <c r="GC19" s="75"/>
      <c r="GD19" s="75"/>
      <c r="GE19" s="75"/>
      <c r="GF19" s="75"/>
      <c r="GG19" s="75"/>
      <c r="GH19" s="75"/>
      <c r="GI19" s="75"/>
      <c r="GJ19" s="75"/>
      <c r="GK19" s="75"/>
      <c r="GL19" s="75"/>
      <c r="GM19" s="75"/>
      <c r="GN19" s="75"/>
      <c r="GO19" s="75"/>
      <c r="GP19" s="75"/>
      <c r="GQ19" s="75"/>
      <c r="GR19" s="75"/>
      <c r="GS19" s="75"/>
      <c r="GT19" s="75"/>
      <c r="GU19" s="75"/>
      <c r="GV19" s="75"/>
      <c r="GW19" s="75"/>
      <c r="GX19" s="75"/>
      <c r="GY19" s="75"/>
      <c r="GZ19" s="75"/>
      <c r="HA19" s="75"/>
      <c r="HB19" s="75"/>
      <c r="HC19" s="75"/>
      <c r="HD19" s="75"/>
      <c r="HE19" s="75"/>
      <c r="HF19" s="75"/>
      <c r="HG19" s="75"/>
      <c r="HH19" s="75"/>
      <c r="HI19" s="75"/>
      <c r="HJ19" s="75"/>
      <c r="HK19" s="75"/>
      <c r="HL19" s="75"/>
      <c r="HM19" s="75"/>
      <c r="HN19" s="75"/>
      <c r="HO19" s="75"/>
      <c r="HP19" s="75"/>
      <c r="HQ19" s="75"/>
      <c r="HR19" s="75"/>
      <c r="HS19" s="75"/>
      <c r="HT19" s="75"/>
      <c r="HU19" s="75"/>
      <c r="HV19" s="75"/>
      <c r="HW19" s="75"/>
      <c r="HX19" s="75"/>
      <c r="HY19" s="75"/>
      <c r="HZ19" s="75"/>
      <c r="IA19" s="75"/>
      <c r="IB19" s="75"/>
      <c r="IC19" s="75"/>
      <c r="ID19" s="75"/>
      <c r="IE19" s="75"/>
      <c r="IF19" s="75"/>
      <c r="IG19" s="75"/>
      <c r="IH19" s="75"/>
      <c r="II19" s="75"/>
      <c r="IJ19" s="75"/>
      <c r="IK19" s="75"/>
      <c r="IL19" s="75"/>
      <c r="IM19" s="75"/>
      <c r="IN19" s="75"/>
      <c r="IO19" s="75"/>
      <c r="IP19" s="75"/>
      <c r="IQ19" s="75"/>
      <c r="IR19" s="75"/>
      <c r="IS19" s="75"/>
      <c r="IT19" s="75"/>
      <c r="IU19" s="75"/>
    </row>
    <row r="20" s="78" customFormat="true" ht="13.45" hidden="false" customHeight="false" outlineLevel="0" collapsed="false">
      <c r="A20" s="72"/>
      <c r="B20" s="72" t="s">
        <v>83</v>
      </c>
      <c r="C20" s="73" t="n">
        <v>0</v>
      </c>
      <c r="D20" s="73" t="n">
        <v>0</v>
      </c>
      <c r="E20" s="73" t="n">
        <v>0</v>
      </c>
      <c r="F20" s="73" t="n">
        <v>0</v>
      </c>
      <c r="G20" s="73" t="n">
        <v>0</v>
      </c>
      <c r="H20" s="73" t="n">
        <v>0</v>
      </c>
      <c r="I20" s="73" t="n">
        <v>0</v>
      </c>
      <c r="J20" s="73" t="n">
        <v>0</v>
      </c>
      <c r="K20" s="73" t="n">
        <v>0</v>
      </c>
      <c r="L20" s="73" t="n">
        <v>0</v>
      </c>
      <c r="M20" s="73" t="n">
        <v>0</v>
      </c>
      <c r="N20" s="74" t="n">
        <v>0</v>
      </c>
      <c r="O20" s="73" t="n">
        <v>0</v>
      </c>
      <c r="P20" s="75"/>
      <c r="Q20" s="76" t="n">
        <v>5000</v>
      </c>
      <c r="R20" s="75" t="n">
        <f aca="false">Q20</f>
        <v>5000</v>
      </c>
      <c r="S20" s="75" t="n">
        <f aca="false">R20</f>
        <v>5000</v>
      </c>
      <c r="T20" s="75" t="n">
        <f aca="false">S20</f>
        <v>5000</v>
      </c>
      <c r="U20" s="75" t="n">
        <f aca="false">T20</f>
        <v>5000</v>
      </c>
      <c r="V20" s="75" t="n">
        <f aca="false">U20</f>
        <v>5000</v>
      </c>
      <c r="W20" s="75" t="n">
        <v>10000</v>
      </c>
      <c r="X20" s="75" t="n">
        <f aca="false">W20</f>
        <v>10000</v>
      </c>
      <c r="Y20" s="75" t="n">
        <f aca="false">X20</f>
        <v>10000</v>
      </c>
      <c r="Z20" s="75" t="n">
        <f aca="false">Y20</f>
        <v>10000</v>
      </c>
      <c r="AA20" s="75" t="n">
        <f aca="false">Z20</f>
        <v>10000</v>
      </c>
      <c r="AB20" s="77" t="n">
        <f aca="false">AA20</f>
        <v>10000</v>
      </c>
      <c r="AC20" s="63" t="n">
        <f aca="false">SUM(Q20:AB20)</f>
        <v>90000</v>
      </c>
      <c r="AD20" s="75"/>
      <c r="AE20" s="75"/>
      <c r="AF20" s="75"/>
      <c r="AG20" s="75"/>
      <c r="AH20" s="75"/>
      <c r="AI20" s="75"/>
      <c r="AJ20" s="75"/>
      <c r="AK20" s="75"/>
      <c r="AL20" s="75"/>
      <c r="AM20" s="75"/>
      <c r="AN20" s="75"/>
      <c r="AO20" s="75"/>
      <c r="AP20" s="75"/>
      <c r="AQ20" s="75"/>
      <c r="AR20" s="75"/>
      <c r="AS20" s="75"/>
      <c r="AT20" s="75"/>
      <c r="AU20" s="75"/>
      <c r="AV20" s="75"/>
      <c r="AW20" s="75"/>
      <c r="AX20" s="75"/>
      <c r="AY20" s="75"/>
      <c r="AZ20" s="75"/>
      <c r="BA20" s="75"/>
      <c r="BB20" s="75"/>
      <c r="BC20" s="75"/>
      <c r="BD20" s="75"/>
      <c r="BE20" s="75"/>
      <c r="BF20" s="75"/>
      <c r="BG20" s="75"/>
      <c r="BH20" s="75"/>
      <c r="BI20" s="75"/>
      <c r="BJ20" s="75"/>
      <c r="BK20" s="75"/>
      <c r="BL20" s="75"/>
      <c r="BM20" s="75"/>
      <c r="BN20" s="75"/>
      <c r="BO20" s="75"/>
      <c r="BP20" s="75"/>
      <c r="BQ20" s="75"/>
      <c r="BR20" s="75"/>
      <c r="BS20" s="75"/>
      <c r="BT20" s="75"/>
      <c r="BU20" s="75"/>
      <c r="BV20" s="75"/>
      <c r="BW20" s="75"/>
      <c r="BX20" s="75"/>
      <c r="BY20" s="75"/>
      <c r="BZ20" s="75"/>
      <c r="CA20" s="75"/>
      <c r="CB20" s="75"/>
      <c r="CC20" s="75"/>
      <c r="CD20" s="75"/>
      <c r="CE20" s="75"/>
      <c r="CF20" s="75"/>
      <c r="CG20" s="75"/>
      <c r="CH20" s="75"/>
      <c r="CI20" s="75"/>
      <c r="CJ20" s="75"/>
      <c r="CK20" s="75"/>
      <c r="CL20" s="75"/>
      <c r="CM20" s="75"/>
      <c r="CN20" s="75"/>
      <c r="CO20" s="75"/>
      <c r="CP20" s="75"/>
      <c r="CQ20" s="75"/>
      <c r="CR20" s="75"/>
      <c r="CS20" s="75"/>
      <c r="CT20" s="75"/>
      <c r="CU20" s="75"/>
      <c r="CV20" s="75"/>
      <c r="CW20" s="75"/>
      <c r="CX20" s="75"/>
      <c r="CY20" s="75"/>
      <c r="CZ20" s="75"/>
      <c r="DA20" s="75"/>
      <c r="DB20" s="75"/>
      <c r="DC20" s="75"/>
      <c r="DD20" s="75"/>
      <c r="DE20" s="75"/>
      <c r="DF20" s="75"/>
      <c r="DG20" s="75"/>
      <c r="DH20" s="75"/>
      <c r="DI20" s="75"/>
      <c r="DJ20" s="75"/>
      <c r="DK20" s="75"/>
      <c r="DL20" s="75"/>
      <c r="DM20" s="75"/>
      <c r="DN20" s="75"/>
      <c r="DO20" s="75"/>
      <c r="DP20" s="75"/>
      <c r="DQ20" s="75"/>
      <c r="DR20" s="75"/>
      <c r="DS20" s="75"/>
      <c r="DT20" s="75"/>
      <c r="DU20" s="75"/>
      <c r="DV20" s="75"/>
      <c r="DW20" s="75"/>
      <c r="DX20" s="75"/>
      <c r="DY20" s="75"/>
      <c r="DZ20" s="75"/>
      <c r="EA20" s="75"/>
      <c r="EB20" s="75"/>
      <c r="EC20" s="75"/>
      <c r="ED20" s="75"/>
      <c r="EE20" s="75"/>
      <c r="EF20" s="75"/>
      <c r="EG20" s="75"/>
      <c r="EH20" s="75"/>
      <c r="EI20" s="75"/>
      <c r="EJ20" s="75"/>
      <c r="EK20" s="75"/>
      <c r="EL20" s="75"/>
      <c r="EM20" s="75"/>
      <c r="EN20" s="75"/>
      <c r="EO20" s="75"/>
      <c r="EP20" s="75"/>
      <c r="EQ20" s="75"/>
      <c r="ER20" s="75"/>
      <c r="ES20" s="75"/>
      <c r="ET20" s="75"/>
      <c r="EU20" s="75"/>
      <c r="EV20" s="75"/>
      <c r="EW20" s="75"/>
      <c r="EX20" s="75"/>
      <c r="EY20" s="75"/>
      <c r="EZ20" s="75"/>
      <c r="FA20" s="75"/>
      <c r="FB20" s="75"/>
      <c r="FC20" s="75"/>
      <c r="FD20" s="75"/>
      <c r="FE20" s="75"/>
      <c r="FF20" s="75"/>
      <c r="FG20" s="75"/>
      <c r="FH20" s="75"/>
      <c r="FI20" s="75"/>
      <c r="FJ20" s="75"/>
      <c r="FK20" s="75"/>
      <c r="FL20" s="75"/>
      <c r="FM20" s="75"/>
      <c r="FN20" s="75"/>
      <c r="FO20" s="75"/>
      <c r="FP20" s="75"/>
      <c r="FQ20" s="75"/>
      <c r="FR20" s="75"/>
      <c r="FS20" s="75"/>
      <c r="FT20" s="75"/>
      <c r="FU20" s="75"/>
      <c r="FV20" s="75"/>
      <c r="FW20" s="75"/>
      <c r="FX20" s="75"/>
      <c r="FY20" s="75"/>
      <c r="FZ20" s="75"/>
      <c r="GA20" s="75"/>
      <c r="GB20" s="75"/>
      <c r="GC20" s="75"/>
      <c r="GD20" s="75"/>
      <c r="GE20" s="75"/>
      <c r="GF20" s="75"/>
      <c r="GG20" s="75"/>
      <c r="GH20" s="75"/>
      <c r="GI20" s="75"/>
      <c r="GJ20" s="75"/>
      <c r="GK20" s="75"/>
      <c r="GL20" s="75"/>
      <c r="GM20" s="75"/>
      <c r="GN20" s="75"/>
      <c r="GO20" s="75"/>
      <c r="GP20" s="75"/>
      <c r="GQ20" s="75"/>
      <c r="GR20" s="75"/>
      <c r="GS20" s="75"/>
      <c r="GT20" s="75"/>
      <c r="GU20" s="75"/>
      <c r="GV20" s="75"/>
      <c r="GW20" s="75"/>
      <c r="GX20" s="75"/>
      <c r="GY20" s="75"/>
      <c r="GZ20" s="75"/>
      <c r="HA20" s="75"/>
      <c r="HB20" s="75"/>
      <c r="HC20" s="75"/>
      <c r="HD20" s="75"/>
      <c r="HE20" s="75"/>
      <c r="HF20" s="75"/>
      <c r="HG20" s="75"/>
      <c r="HH20" s="75"/>
      <c r="HI20" s="75"/>
      <c r="HJ20" s="75"/>
      <c r="HK20" s="75"/>
      <c r="HL20" s="75"/>
      <c r="HM20" s="75"/>
      <c r="HN20" s="75"/>
      <c r="HO20" s="75"/>
      <c r="HP20" s="75"/>
      <c r="HQ20" s="75"/>
      <c r="HR20" s="75"/>
      <c r="HS20" s="75"/>
      <c r="HT20" s="75"/>
      <c r="HU20" s="75"/>
      <c r="HV20" s="75"/>
      <c r="HW20" s="75"/>
      <c r="HX20" s="75"/>
      <c r="HY20" s="75"/>
      <c r="HZ20" s="75"/>
      <c r="IA20" s="75"/>
      <c r="IB20" s="75"/>
      <c r="IC20" s="75"/>
      <c r="ID20" s="75"/>
      <c r="IE20" s="75"/>
      <c r="IF20" s="75"/>
      <c r="IG20" s="75"/>
      <c r="IH20" s="75"/>
      <c r="II20" s="75"/>
      <c r="IJ20" s="75"/>
      <c r="IK20" s="75"/>
      <c r="IL20" s="75"/>
      <c r="IM20" s="75"/>
      <c r="IN20" s="75"/>
      <c r="IO20" s="75"/>
      <c r="IP20" s="75"/>
      <c r="IQ20" s="75"/>
      <c r="IR20" s="75"/>
      <c r="IS20" s="75"/>
      <c r="IT20" s="75"/>
      <c r="IU20" s="75"/>
    </row>
    <row r="21" s="78" customFormat="true" ht="13.45" hidden="false" customHeight="false" outlineLevel="0" collapsed="false">
      <c r="A21" s="72"/>
      <c r="B21" s="72" t="s">
        <v>84</v>
      </c>
      <c r="C21" s="73" t="n">
        <v>7000</v>
      </c>
      <c r="D21" s="73" t="n">
        <v>3500</v>
      </c>
      <c r="E21" s="73" t="n">
        <v>7000</v>
      </c>
      <c r="F21" s="73" t="n">
        <v>3500</v>
      </c>
      <c r="G21" s="73" t="n">
        <v>7000</v>
      </c>
      <c r="H21" s="73" t="n">
        <v>3500</v>
      </c>
      <c r="I21" s="73" t="n">
        <v>4000</v>
      </c>
      <c r="J21" s="73" t="n">
        <v>3500</v>
      </c>
      <c r="K21" s="73" t="n">
        <v>5000</v>
      </c>
      <c r="L21" s="73" t="n">
        <f aca="false">K21</f>
        <v>5000</v>
      </c>
      <c r="M21" s="73" t="n">
        <f aca="false">L21</f>
        <v>5000</v>
      </c>
      <c r="N21" s="73" t="n">
        <f aca="false">M21</f>
        <v>5000</v>
      </c>
      <c r="O21" s="73" t="n">
        <f aca="false">SUM(C21:N21)</f>
        <v>59000</v>
      </c>
      <c r="P21" s="75"/>
      <c r="Q21" s="76" t="n">
        <v>1000000</v>
      </c>
      <c r="R21" s="75" t="n">
        <f aca="false">Q21</f>
        <v>1000000</v>
      </c>
      <c r="S21" s="75" t="n">
        <f aca="false">R21*1.2</f>
        <v>1200000</v>
      </c>
      <c r="T21" s="75" t="n">
        <f aca="false">S21*1.2</f>
        <v>1440000</v>
      </c>
      <c r="U21" s="75" t="n">
        <f aca="false">T21*1.2</f>
        <v>1728000</v>
      </c>
      <c r="V21" s="75" t="n">
        <f aca="false">U21*1.2</f>
        <v>2073600</v>
      </c>
      <c r="W21" s="75" t="n">
        <v>3000000</v>
      </c>
      <c r="X21" s="75" t="n">
        <f aca="false">W21*1.2</f>
        <v>3600000</v>
      </c>
      <c r="Y21" s="75" t="n">
        <f aca="false">X21*1.2</f>
        <v>4320000</v>
      </c>
      <c r="Z21" s="75" t="n">
        <f aca="false">Y21*1.2</f>
        <v>5184000</v>
      </c>
      <c r="AA21" s="75" t="n">
        <f aca="false">Z21*1.2</f>
        <v>6220800</v>
      </c>
      <c r="AB21" s="77" t="n">
        <f aca="false">AA21*1.2</f>
        <v>7464960</v>
      </c>
      <c r="AC21" s="63" t="n">
        <f aca="false">SUM(Q21:AB21)</f>
        <v>38231360</v>
      </c>
      <c r="AD21" s="75"/>
      <c r="AE21" s="75"/>
      <c r="AF21" s="75"/>
      <c r="AG21" s="75"/>
      <c r="AH21" s="75"/>
      <c r="AI21" s="75"/>
      <c r="AJ21" s="75"/>
      <c r="AK21" s="75"/>
      <c r="AL21" s="75"/>
      <c r="AM21" s="75"/>
      <c r="AN21" s="75"/>
      <c r="AO21" s="75"/>
      <c r="AP21" s="75"/>
      <c r="AQ21" s="75"/>
      <c r="AR21" s="75"/>
      <c r="AS21" s="75"/>
      <c r="AT21" s="75"/>
      <c r="AU21" s="75"/>
      <c r="AV21" s="75"/>
      <c r="AW21" s="75"/>
      <c r="AX21" s="75"/>
      <c r="AY21" s="75"/>
      <c r="AZ21" s="75"/>
      <c r="BA21" s="75"/>
      <c r="BB21" s="75"/>
      <c r="BC21" s="75"/>
      <c r="BD21" s="75"/>
      <c r="BE21" s="75"/>
      <c r="BF21" s="75"/>
      <c r="BG21" s="75"/>
      <c r="BH21" s="75"/>
      <c r="BI21" s="75"/>
      <c r="BJ21" s="75"/>
      <c r="BK21" s="75"/>
      <c r="BL21" s="75"/>
      <c r="BM21" s="75"/>
      <c r="BN21" s="75"/>
      <c r="BO21" s="75"/>
      <c r="BP21" s="75"/>
      <c r="BQ21" s="75"/>
      <c r="BR21" s="75"/>
      <c r="BS21" s="75"/>
      <c r="BT21" s="75"/>
      <c r="BU21" s="75"/>
      <c r="BV21" s="75"/>
      <c r="BW21" s="75"/>
      <c r="BX21" s="75"/>
      <c r="BY21" s="75"/>
      <c r="BZ21" s="75"/>
      <c r="CA21" s="75"/>
      <c r="CB21" s="75"/>
      <c r="CC21" s="75"/>
      <c r="CD21" s="75"/>
      <c r="CE21" s="75"/>
      <c r="CF21" s="75"/>
      <c r="CG21" s="75"/>
      <c r="CH21" s="75"/>
      <c r="CI21" s="75"/>
      <c r="CJ21" s="75"/>
      <c r="CK21" s="75"/>
      <c r="CL21" s="75"/>
      <c r="CM21" s="75"/>
      <c r="CN21" s="75"/>
      <c r="CO21" s="75"/>
      <c r="CP21" s="75"/>
      <c r="CQ21" s="75"/>
      <c r="CR21" s="75"/>
      <c r="CS21" s="75"/>
      <c r="CT21" s="75"/>
      <c r="CU21" s="75"/>
      <c r="CV21" s="75"/>
      <c r="CW21" s="75"/>
      <c r="CX21" s="75"/>
      <c r="CY21" s="75"/>
      <c r="CZ21" s="75"/>
      <c r="DA21" s="75"/>
      <c r="DB21" s="75"/>
      <c r="DC21" s="75"/>
      <c r="DD21" s="75"/>
      <c r="DE21" s="75"/>
      <c r="DF21" s="75"/>
      <c r="DG21" s="75"/>
      <c r="DH21" s="75"/>
      <c r="DI21" s="75"/>
      <c r="DJ21" s="75"/>
      <c r="DK21" s="75"/>
      <c r="DL21" s="75"/>
      <c r="DM21" s="75"/>
      <c r="DN21" s="75"/>
      <c r="DO21" s="75"/>
      <c r="DP21" s="75"/>
      <c r="DQ21" s="75"/>
      <c r="DR21" s="75"/>
      <c r="DS21" s="75"/>
      <c r="DT21" s="75"/>
      <c r="DU21" s="75"/>
      <c r="DV21" s="75"/>
      <c r="DW21" s="75"/>
      <c r="DX21" s="75"/>
      <c r="DY21" s="75"/>
      <c r="DZ21" s="75"/>
      <c r="EA21" s="75"/>
      <c r="EB21" s="75"/>
      <c r="EC21" s="75"/>
      <c r="ED21" s="75"/>
      <c r="EE21" s="75"/>
      <c r="EF21" s="75"/>
      <c r="EG21" s="75"/>
      <c r="EH21" s="75"/>
      <c r="EI21" s="75"/>
      <c r="EJ21" s="75"/>
      <c r="EK21" s="75"/>
      <c r="EL21" s="75"/>
      <c r="EM21" s="75"/>
      <c r="EN21" s="75"/>
      <c r="EO21" s="75"/>
      <c r="EP21" s="75"/>
      <c r="EQ21" s="75"/>
      <c r="ER21" s="75"/>
      <c r="ES21" s="75"/>
      <c r="ET21" s="75"/>
      <c r="EU21" s="75"/>
      <c r="EV21" s="75"/>
      <c r="EW21" s="75"/>
      <c r="EX21" s="75"/>
      <c r="EY21" s="75"/>
      <c r="EZ21" s="75"/>
      <c r="FA21" s="75"/>
      <c r="FB21" s="75"/>
      <c r="FC21" s="75"/>
      <c r="FD21" s="75"/>
      <c r="FE21" s="75"/>
      <c r="FF21" s="75"/>
      <c r="FG21" s="75"/>
      <c r="FH21" s="75"/>
      <c r="FI21" s="75"/>
      <c r="FJ21" s="75"/>
      <c r="FK21" s="75"/>
      <c r="FL21" s="75"/>
      <c r="FM21" s="75"/>
      <c r="FN21" s="75"/>
      <c r="FO21" s="75"/>
      <c r="FP21" s="75"/>
      <c r="FQ21" s="75"/>
      <c r="FR21" s="75"/>
      <c r="FS21" s="75"/>
      <c r="FT21" s="75"/>
      <c r="FU21" s="75"/>
      <c r="FV21" s="75"/>
      <c r="FW21" s="75"/>
      <c r="FX21" s="75"/>
      <c r="FY21" s="75"/>
      <c r="FZ21" s="75"/>
      <c r="GA21" s="75"/>
      <c r="GB21" s="75"/>
      <c r="GC21" s="75"/>
      <c r="GD21" s="75"/>
      <c r="GE21" s="75"/>
      <c r="GF21" s="75"/>
      <c r="GG21" s="75"/>
      <c r="GH21" s="75"/>
      <c r="GI21" s="75"/>
      <c r="GJ21" s="75"/>
      <c r="GK21" s="75"/>
      <c r="GL21" s="75"/>
      <c r="GM21" s="75"/>
      <c r="GN21" s="75"/>
      <c r="GO21" s="75"/>
      <c r="GP21" s="75"/>
      <c r="GQ21" s="75"/>
      <c r="GR21" s="75"/>
      <c r="GS21" s="75"/>
      <c r="GT21" s="75"/>
      <c r="GU21" s="75"/>
      <c r="GV21" s="75"/>
      <c r="GW21" s="75"/>
      <c r="GX21" s="75"/>
      <c r="GY21" s="75"/>
      <c r="GZ21" s="75"/>
      <c r="HA21" s="75"/>
      <c r="HB21" s="75"/>
      <c r="HC21" s="75"/>
      <c r="HD21" s="75"/>
      <c r="HE21" s="75"/>
      <c r="HF21" s="75"/>
      <c r="HG21" s="75"/>
      <c r="HH21" s="75"/>
      <c r="HI21" s="75"/>
      <c r="HJ21" s="75"/>
      <c r="HK21" s="75"/>
      <c r="HL21" s="75"/>
      <c r="HM21" s="75"/>
      <c r="HN21" s="75"/>
      <c r="HO21" s="75"/>
      <c r="HP21" s="75"/>
      <c r="HQ21" s="75"/>
      <c r="HR21" s="75"/>
      <c r="HS21" s="75"/>
      <c r="HT21" s="75"/>
      <c r="HU21" s="75"/>
      <c r="HV21" s="75"/>
      <c r="HW21" s="75"/>
      <c r="HX21" s="75"/>
      <c r="HY21" s="75"/>
      <c r="HZ21" s="75"/>
      <c r="IA21" s="75"/>
      <c r="IB21" s="75"/>
      <c r="IC21" s="75"/>
      <c r="ID21" s="75"/>
      <c r="IE21" s="75"/>
      <c r="IF21" s="75"/>
      <c r="IG21" s="75"/>
      <c r="IH21" s="75"/>
      <c r="II21" s="75"/>
      <c r="IJ21" s="75"/>
      <c r="IK21" s="75"/>
      <c r="IL21" s="75"/>
      <c r="IM21" s="75"/>
      <c r="IN21" s="75"/>
      <c r="IO21" s="75"/>
      <c r="IP21" s="75"/>
      <c r="IQ21" s="75"/>
      <c r="IR21" s="75"/>
      <c r="IS21" s="75"/>
      <c r="IT21" s="75"/>
      <c r="IU21" s="75"/>
    </row>
    <row r="22" s="78" customFormat="true" ht="13.45" hidden="false" customHeight="false" outlineLevel="0" collapsed="false">
      <c r="A22" s="72"/>
      <c r="B22" s="72" t="s">
        <v>85</v>
      </c>
      <c r="C22" s="73" t="n">
        <v>0</v>
      </c>
      <c r="D22" s="73" t="n">
        <v>0</v>
      </c>
      <c r="E22" s="73" t="n">
        <v>0</v>
      </c>
      <c r="F22" s="73" t="n">
        <v>0</v>
      </c>
      <c r="G22" s="73" t="n">
        <v>0</v>
      </c>
      <c r="H22" s="73" t="n">
        <v>0</v>
      </c>
      <c r="I22" s="73" t="n">
        <v>0</v>
      </c>
      <c r="J22" s="73" t="n">
        <v>0</v>
      </c>
      <c r="K22" s="73" t="n">
        <v>0</v>
      </c>
      <c r="L22" s="73" t="n">
        <v>0</v>
      </c>
      <c r="M22" s="73" t="n">
        <v>0</v>
      </c>
      <c r="N22" s="74" t="n">
        <v>0</v>
      </c>
      <c r="O22" s="73" t="n">
        <v>0</v>
      </c>
      <c r="P22" s="75"/>
      <c r="Q22" s="76" t="n">
        <f aca="false">N22</f>
        <v>0</v>
      </c>
      <c r="R22" s="75"/>
      <c r="S22" s="75"/>
      <c r="T22" s="75"/>
      <c r="U22" s="75"/>
      <c r="V22" s="75"/>
      <c r="W22" s="75"/>
      <c r="X22" s="75"/>
      <c r="Y22" s="75"/>
      <c r="Z22" s="75"/>
      <c r="AA22" s="75"/>
      <c r="AB22" s="77"/>
      <c r="AC22" s="63" t="n">
        <f aca="false">SUM(Q22:AB22)</f>
        <v>0</v>
      </c>
      <c r="AD22" s="75"/>
      <c r="AE22" s="75"/>
      <c r="AF22" s="75"/>
      <c r="AG22" s="75"/>
      <c r="AH22" s="75"/>
      <c r="AI22" s="75"/>
      <c r="AJ22" s="75"/>
      <c r="AK22" s="75"/>
      <c r="AL22" s="75"/>
      <c r="AM22" s="75"/>
      <c r="AN22" s="75"/>
      <c r="AO22" s="75"/>
      <c r="AP22" s="75"/>
      <c r="AQ22" s="75"/>
      <c r="AR22" s="75"/>
      <c r="AS22" s="75"/>
      <c r="AT22" s="75"/>
      <c r="AU22" s="75"/>
      <c r="AV22" s="75"/>
      <c r="AW22" s="75"/>
      <c r="AX22" s="75"/>
      <c r="AY22" s="75"/>
      <c r="AZ22" s="75"/>
      <c r="BA22" s="75"/>
      <c r="BB22" s="75"/>
      <c r="BC22" s="75"/>
      <c r="BD22" s="75"/>
      <c r="BE22" s="75"/>
      <c r="BF22" s="75"/>
      <c r="BG22" s="75"/>
      <c r="BH22" s="75"/>
      <c r="BI22" s="75"/>
      <c r="BJ22" s="75"/>
      <c r="BK22" s="75"/>
      <c r="BL22" s="75"/>
      <c r="BM22" s="75"/>
      <c r="BN22" s="75"/>
      <c r="BO22" s="75"/>
      <c r="BP22" s="75"/>
      <c r="BQ22" s="75"/>
      <c r="BR22" s="75"/>
      <c r="BS22" s="75"/>
      <c r="BT22" s="75"/>
      <c r="BU22" s="75"/>
      <c r="BV22" s="75"/>
      <c r="BW22" s="75"/>
      <c r="BX22" s="75"/>
      <c r="BY22" s="75"/>
      <c r="BZ22" s="75"/>
      <c r="CA22" s="75"/>
      <c r="CB22" s="75"/>
      <c r="CC22" s="75"/>
      <c r="CD22" s="75"/>
      <c r="CE22" s="75"/>
      <c r="CF22" s="75"/>
      <c r="CG22" s="75"/>
      <c r="CH22" s="75"/>
      <c r="CI22" s="75"/>
      <c r="CJ22" s="75"/>
      <c r="CK22" s="75"/>
      <c r="CL22" s="75"/>
      <c r="CM22" s="75"/>
      <c r="CN22" s="75"/>
      <c r="CO22" s="75"/>
      <c r="CP22" s="75"/>
      <c r="CQ22" s="75"/>
      <c r="CR22" s="75"/>
      <c r="CS22" s="75"/>
      <c r="CT22" s="75"/>
      <c r="CU22" s="75"/>
      <c r="CV22" s="75"/>
      <c r="CW22" s="75"/>
      <c r="CX22" s="75"/>
      <c r="CY22" s="75"/>
      <c r="CZ22" s="75"/>
      <c r="DA22" s="75"/>
      <c r="DB22" s="75"/>
      <c r="DC22" s="75"/>
      <c r="DD22" s="75"/>
      <c r="DE22" s="75"/>
      <c r="DF22" s="75"/>
      <c r="DG22" s="75"/>
      <c r="DH22" s="75"/>
      <c r="DI22" s="75"/>
      <c r="DJ22" s="75"/>
      <c r="DK22" s="75"/>
      <c r="DL22" s="75"/>
      <c r="DM22" s="75"/>
      <c r="DN22" s="75"/>
      <c r="DO22" s="75"/>
      <c r="DP22" s="75"/>
      <c r="DQ22" s="75"/>
      <c r="DR22" s="75"/>
      <c r="DS22" s="75"/>
      <c r="DT22" s="75"/>
      <c r="DU22" s="75"/>
      <c r="DV22" s="75"/>
      <c r="DW22" s="75"/>
      <c r="DX22" s="75"/>
      <c r="DY22" s="75"/>
      <c r="DZ22" s="75"/>
      <c r="EA22" s="75"/>
      <c r="EB22" s="75"/>
      <c r="EC22" s="75"/>
      <c r="ED22" s="75"/>
      <c r="EE22" s="75"/>
      <c r="EF22" s="75"/>
      <c r="EG22" s="75"/>
      <c r="EH22" s="75"/>
      <c r="EI22" s="75"/>
      <c r="EJ22" s="75"/>
      <c r="EK22" s="75"/>
      <c r="EL22" s="75"/>
      <c r="EM22" s="75"/>
      <c r="EN22" s="75"/>
      <c r="EO22" s="75"/>
      <c r="EP22" s="75"/>
      <c r="EQ22" s="75"/>
      <c r="ER22" s="75"/>
      <c r="ES22" s="75"/>
      <c r="ET22" s="75"/>
      <c r="EU22" s="75"/>
      <c r="EV22" s="75"/>
      <c r="EW22" s="75"/>
      <c r="EX22" s="75"/>
      <c r="EY22" s="75"/>
      <c r="EZ22" s="75"/>
      <c r="FA22" s="75"/>
      <c r="FB22" s="75"/>
      <c r="FC22" s="75"/>
      <c r="FD22" s="75"/>
      <c r="FE22" s="75"/>
      <c r="FF22" s="75"/>
      <c r="FG22" s="75"/>
      <c r="FH22" s="75"/>
      <c r="FI22" s="75"/>
      <c r="FJ22" s="75"/>
      <c r="FK22" s="75"/>
      <c r="FL22" s="75"/>
      <c r="FM22" s="75"/>
      <c r="FN22" s="75"/>
      <c r="FO22" s="75"/>
      <c r="FP22" s="75"/>
      <c r="FQ22" s="75"/>
      <c r="FR22" s="75"/>
      <c r="FS22" s="75"/>
      <c r="FT22" s="75"/>
      <c r="FU22" s="75"/>
      <c r="FV22" s="75"/>
      <c r="FW22" s="75"/>
      <c r="FX22" s="75"/>
      <c r="FY22" s="75"/>
      <c r="FZ22" s="75"/>
      <c r="GA22" s="75"/>
      <c r="GB22" s="75"/>
      <c r="GC22" s="75"/>
      <c r="GD22" s="75"/>
      <c r="GE22" s="75"/>
      <c r="GF22" s="75"/>
      <c r="GG22" s="75"/>
      <c r="GH22" s="75"/>
      <c r="GI22" s="75"/>
      <c r="GJ22" s="75"/>
      <c r="GK22" s="75"/>
      <c r="GL22" s="75"/>
      <c r="GM22" s="75"/>
      <c r="GN22" s="75"/>
      <c r="GO22" s="75"/>
      <c r="GP22" s="75"/>
      <c r="GQ22" s="75"/>
      <c r="GR22" s="75"/>
      <c r="GS22" s="75"/>
      <c r="GT22" s="75"/>
      <c r="GU22" s="75"/>
      <c r="GV22" s="75"/>
      <c r="GW22" s="75"/>
      <c r="GX22" s="75"/>
      <c r="GY22" s="75"/>
      <c r="GZ22" s="75"/>
      <c r="HA22" s="75"/>
      <c r="HB22" s="75"/>
      <c r="HC22" s="75"/>
      <c r="HD22" s="75"/>
      <c r="HE22" s="75"/>
      <c r="HF22" s="75"/>
      <c r="HG22" s="75"/>
      <c r="HH22" s="75"/>
      <c r="HI22" s="75"/>
      <c r="HJ22" s="75"/>
      <c r="HK22" s="75"/>
      <c r="HL22" s="75"/>
      <c r="HM22" s="75"/>
      <c r="HN22" s="75"/>
      <c r="HO22" s="75"/>
      <c r="HP22" s="75"/>
      <c r="HQ22" s="75"/>
      <c r="HR22" s="75"/>
      <c r="HS22" s="75"/>
      <c r="HT22" s="75"/>
      <c r="HU22" s="75"/>
      <c r="HV22" s="75"/>
      <c r="HW22" s="75"/>
      <c r="HX22" s="75"/>
      <c r="HY22" s="75"/>
      <c r="HZ22" s="75"/>
      <c r="IA22" s="75"/>
      <c r="IB22" s="75"/>
      <c r="IC22" s="75"/>
      <c r="ID22" s="75"/>
      <c r="IE22" s="75"/>
      <c r="IF22" s="75"/>
      <c r="IG22" s="75"/>
      <c r="IH22" s="75"/>
      <c r="II22" s="75"/>
      <c r="IJ22" s="75"/>
      <c r="IK22" s="75"/>
      <c r="IL22" s="75"/>
      <c r="IM22" s="75"/>
      <c r="IN22" s="75"/>
      <c r="IO22" s="75"/>
      <c r="IP22" s="75"/>
      <c r="IQ22" s="75"/>
      <c r="IR22" s="75"/>
      <c r="IS22" s="75"/>
      <c r="IT22" s="75"/>
      <c r="IU22" s="75"/>
    </row>
    <row r="23" s="78" customFormat="true" ht="13.45" hidden="false" customHeight="false" outlineLevel="0" collapsed="false">
      <c r="A23" s="72"/>
      <c r="B23" s="72" t="s">
        <v>86</v>
      </c>
      <c r="C23" s="73" t="n">
        <v>125</v>
      </c>
      <c r="D23" s="73" t="n">
        <v>125</v>
      </c>
      <c r="E23" s="73" t="n">
        <v>125</v>
      </c>
      <c r="F23" s="73" t="n">
        <v>125</v>
      </c>
      <c r="G23" s="73" t="n">
        <v>125</v>
      </c>
      <c r="H23" s="73" t="n">
        <v>125</v>
      </c>
      <c r="I23" s="73" t="n">
        <v>125</v>
      </c>
      <c r="J23" s="73" t="n">
        <v>125</v>
      </c>
      <c r="K23" s="73" t="n">
        <v>125</v>
      </c>
      <c r="L23" s="73" t="n">
        <v>125</v>
      </c>
      <c r="M23" s="73" t="n">
        <v>125</v>
      </c>
      <c r="N23" s="74" t="n">
        <v>125</v>
      </c>
      <c r="O23" s="73" t="n">
        <f aca="false">SUM(C23:N23)</f>
        <v>1500</v>
      </c>
      <c r="P23" s="75"/>
      <c r="Q23" s="76" t="n">
        <v>5000</v>
      </c>
      <c r="R23" s="75" t="n">
        <f aca="false">Q23</f>
        <v>5000</v>
      </c>
      <c r="S23" s="75" t="n">
        <f aca="false">R23*1.2</f>
        <v>6000</v>
      </c>
      <c r="T23" s="75" t="n">
        <f aca="false">S23*1.2</f>
        <v>7200</v>
      </c>
      <c r="U23" s="75" t="n">
        <f aca="false">T23*1.2</f>
        <v>8640</v>
      </c>
      <c r="V23" s="75" t="n">
        <v>10000</v>
      </c>
      <c r="W23" s="75" t="n">
        <f aca="false">V23</f>
        <v>10000</v>
      </c>
      <c r="X23" s="75" t="n">
        <f aca="false">W23</f>
        <v>10000</v>
      </c>
      <c r="Y23" s="75" t="n">
        <f aca="false">X23</f>
        <v>10000</v>
      </c>
      <c r="Z23" s="75" t="n">
        <f aca="false">Y23</f>
        <v>10000</v>
      </c>
      <c r="AA23" s="75" t="n">
        <f aca="false">Z23</f>
        <v>10000</v>
      </c>
      <c r="AB23" s="77" t="n">
        <f aca="false">AA23</f>
        <v>10000</v>
      </c>
      <c r="AC23" s="63" t="n">
        <f aca="false">SUM(Q23:AB23)</f>
        <v>101840</v>
      </c>
      <c r="AD23" s="75"/>
      <c r="AE23" s="75"/>
      <c r="AF23" s="75"/>
      <c r="AG23" s="75"/>
      <c r="AH23" s="75"/>
      <c r="AI23" s="75"/>
      <c r="AJ23" s="75"/>
      <c r="AK23" s="75"/>
      <c r="AL23" s="75"/>
      <c r="AM23" s="75"/>
      <c r="AN23" s="75"/>
      <c r="AO23" s="75"/>
      <c r="AP23" s="75"/>
      <c r="AQ23" s="75"/>
      <c r="AR23" s="75"/>
      <c r="AS23" s="75"/>
      <c r="AT23" s="75"/>
      <c r="AU23" s="75"/>
      <c r="AV23" s="75"/>
      <c r="AW23" s="75"/>
      <c r="AX23" s="75"/>
      <c r="AY23" s="75"/>
      <c r="AZ23" s="75"/>
      <c r="BA23" s="75"/>
      <c r="BB23" s="75"/>
      <c r="BC23" s="75"/>
      <c r="BD23" s="75"/>
      <c r="BE23" s="75"/>
      <c r="BF23" s="75"/>
      <c r="BG23" s="75"/>
      <c r="BH23" s="75"/>
      <c r="BI23" s="75"/>
      <c r="BJ23" s="75"/>
      <c r="BK23" s="75"/>
      <c r="BL23" s="75"/>
      <c r="BM23" s="75"/>
      <c r="BN23" s="75"/>
      <c r="BO23" s="75"/>
      <c r="BP23" s="75"/>
      <c r="BQ23" s="75"/>
      <c r="BR23" s="75"/>
      <c r="BS23" s="75"/>
      <c r="BT23" s="75"/>
      <c r="BU23" s="75"/>
      <c r="BV23" s="75"/>
      <c r="BW23" s="75"/>
      <c r="BX23" s="75"/>
      <c r="BY23" s="75"/>
      <c r="BZ23" s="75"/>
      <c r="CA23" s="75"/>
      <c r="CB23" s="75"/>
      <c r="CC23" s="75"/>
      <c r="CD23" s="75"/>
      <c r="CE23" s="75"/>
      <c r="CF23" s="75"/>
      <c r="CG23" s="75"/>
      <c r="CH23" s="75"/>
      <c r="CI23" s="75"/>
      <c r="CJ23" s="75"/>
      <c r="CK23" s="75"/>
      <c r="CL23" s="75"/>
      <c r="CM23" s="75"/>
      <c r="CN23" s="75"/>
      <c r="CO23" s="75"/>
      <c r="CP23" s="75"/>
      <c r="CQ23" s="75"/>
      <c r="CR23" s="75"/>
      <c r="CS23" s="75"/>
      <c r="CT23" s="75"/>
      <c r="CU23" s="75"/>
      <c r="CV23" s="75"/>
      <c r="CW23" s="75"/>
      <c r="CX23" s="75"/>
      <c r="CY23" s="75"/>
      <c r="CZ23" s="75"/>
      <c r="DA23" s="75"/>
      <c r="DB23" s="75"/>
      <c r="DC23" s="75"/>
      <c r="DD23" s="75"/>
      <c r="DE23" s="75"/>
      <c r="DF23" s="75"/>
      <c r="DG23" s="75"/>
      <c r="DH23" s="75"/>
      <c r="DI23" s="75"/>
      <c r="DJ23" s="75"/>
      <c r="DK23" s="75"/>
      <c r="DL23" s="75"/>
      <c r="DM23" s="75"/>
      <c r="DN23" s="75"/>
      <c r="DO23" s="75"/>
      <c r="DP23" s="75"/>
      <c r="DQ23" s="75"/>
      <c r="DR23" s="75"/>
      <c r="DS23" s="75"/>
      <c r="DT23" s="75"/>
      <c r="DU23" s="75"/>
      <c r="DV23" s="75"/>
      <c r="DW23" s="75"/>
      <c r="DX23" s="75"/>
      <c r="DY23" s="75"/>
      <c r="DZ23" s="75"/>
      <c r="EA23" s="75"/>
      <c r="EB23" s="75"/>
      <c r="EC23" s="75"/>
      <c r="ED23" s="75"/>
      <c r="EE23" s="75"/>
      <c r="EF23" s="75"/>
      <c r="EG23" s="75"/>
      <c r="EH23" s="75"/>
      <c r="EI23" s="75"/>
      <c r="EJ23" s="75"/>
      <c r="EK23" s="75"/>
      <c r="EL23" s="75"/>
      <c r="EM23" s="75"/>
      <c r="EN23" s="75"/>
      <c r="EO23" s="75"/>
      <c r="EP23" s="75"/>
      <c r="EQ23" s="75"/>
      <c r="ER23" s="75"/>
      <c r="ES23" s="75"/>
      <c r="ET23" s="75"/>
      <c r="EU23" s="75"/>
      <c r="EV23" s="75"/>
      <c r="EW23" s="75"/>
      <c r="EX23" s="75"/>
      <c r="EY23" s="75"/>
      <c r="EZ23" s="75"/>
      <c r="FA23" s="75"/>
      <c r="FB23" s="75"/>
      <c r="FC23" s="75"/>
      <c r="FD23" s="75"/>
      <c r="FE23" s="75"/>
      <c r="FF23" s="75"/>
      <c r="FG23" s="75"/>
      <c r="FH23" s="75"/>
      <c r="FI23" s="75"/>
      <c r="FJ23" s="75"/>
      <c r="FK23" s="75"/>
      <c r="FL23" s="75"/>
      <c r="FM23" s="75"/>
      <c r="FN23" s="75"/>
      <c r="FO23" s="75"/>
      <c r="FP23" s="75"/>
      <c r="FQ23" s="75"/>
      <c r="FR23" s="75"/>
      <c r="FS23" s="75"/>
      <c r="FT23" s="75"/>
      <c r="FU23" s="75"/>
      <c r="FV23" s="75"/>
      <c r="FW23" s="75"/>
      <c r="FX23" s="75"/>
      <c r="FY23" s="75"/>
      <c r="FZ23" s="75"/>
      <c r="GA23" s="75"/>
      <c r="GB23" s="75"/>
      <c r="GC23" s="75"/>
      <c r="GD23" s="75"/>
      <c r="GE23" s="75"/>
      <c r="GF23" s="75"/>
      <c r="GG23" s="75"/>
      <c r="GH23" s="75"/>
      <c r="GI23" s="75"/>
      <c r="GJ23" s="75"/>
      <c r="GK23" s="75"/>
      <c r="GL23" s="75"/>
      <c r="GM23" s="75"/>
      <c r="GN23" s="75"/>
      <c r="GO23" s="75"/>
      <c r="GP23" s="75"/>
      <c r="GQ23" s="75"/>
      <c r="GR23" s="75"/>
      <c r="GS23" s="75"/>
      <c r="GT23" s="75"/>
      <c r="GU23" s="75"/>
      <c r="GV23" s="75"/>
      <c r="GW23" s="75"/>
      <c r="GX23" s="75"/>
      <c r="GY23" s="75"/>
      <c r="GZ23" s="75"/>
      <c r="HA23" s="75"/>
      <c r="HB23" s="75"/>
      <c r="HC23" s="75"/>
      <c r="HD23" s="75"/>
      <c r="HE23" s="75"/>
      <c r="HF23" s="75"/>
      <c r="HG23" s="75"/>
      <c r="HH23" s="75"/>
      <c r="HI23" s="75"/>
      <c r="HJ23" s="75"/>
      <c r="HK23" s="75"/>
      <c r="HL23" s="75"/>
      <c r="HM23" s="75"/>
      <c r="HN23" s="75"/>
      <c r="HO23" s="75"/>
      <c r="HP23" s="75"/>
      <c r="HQ23" s="75"/>
      <c r="HR23" s="75"/>
      <c r="HS23" s="75"/>
      <c r="HT23" s="75"/>
      <c r="HU23" s="75"/>
      <c r="HV23" s="75"/>
      <c r="HW23" s="75"/>
      <c r="HX23" s="75"/>
      <c r="HY23" s="75"/>
      <c r="HZ23" s="75"/>
      <c r="IA23" s="75"/>
      <c r="IB23" s="75"/>
      <c r="IC23" s="75"/>
      <c r="ID23" s="75"/>
      <c r="IE23" s="75"/>
      <c r="IF23" s="75"/>
      <c r="IG23" s="75"/>
      <c r="IH23" s="75"/>
      <c r="II23" s="75"/>
      <c r="IJ23" s="75"/>
      <c r="IK23" s="75"/>
      <c r="IL23" s="75"/>
      <c r="IM23" s="75"/>
      <c r="IN23" s="75"/>
      <c r="IO23" s="75"/>
      <c r="IP23" s="75"/>
      <c r="IQ23" s="75"/>
      <c r="IR23" s="75"/>
      <c r="IS23" s="75"/>
      <c r="IT23" s="75"/>
      <c r="IU23" s="75"/>
    </row>
    <row r="24" s="78" customFormat="true" ht="13.45" hidden="false" customHeight="false" outlineLevel="0" collapsed="false">
      <c r="A24" s="72"/>
      <c r="B24" s="72" t="s">
        <v>87</v>
      </c>
      <c r="C24" s="73" t="n">
        <v>2000</v>
      </c>
      <c r="D24" s="73" t="n">
        <v>500</v>
      </c>
      <c r="E24" s="73" t="n">
        <v>120</v>
      </c>
      <c r="F24" s="73" t="n">
        <v>2000</v>
      </c>
      <c r="G24" s="73" t="n">
        <v>500</v>
      </c>
      <c r="H24" s="73" t="n">
        <v>500</v>
      </c>
      <c r="I24" s="73" t="n">
        <v>500</v>
      </c>
      <c r="J24" s="73" t="n">
        <v>2500</v>
      </c>
      <c r="K24" s="73" t="n">
        <v>300</v>
      </c>
      <c r="L24" s="73" t="n">
        <v>800</v>
      </c>
      <c r="M24" s="73" t="n">
        <v>3334</v>
      </c>
      <c r="N24" s="74" t="n">
        <v>500</v>
      </c>
      <c r="O24" s="73" t="n">
        <f aca="false">SUM(C24:N24)</f>
        <v>13554</v>
      </c>
      <c r="P24" s="75"/>
      <c r="Q24" s="76" t="n">
        <v>200000</v>
      </c>
      <c r="R24" s="75" t="n">
        <f aca="false">Q24*1.2</f>
        <v>240000</v>
      </c>
      <c r="S24" s="75" t="n">
        <f aca="false">R24*1.2</f>
        <v>288000</v>
      </c>
      <c r="T24" s="75" t="n">
        <f aca="false">S24*1.2</f>
        <v>345600</v>
      </c>
      <c r="U24" s="75" t="n">
        <f aca="false">T24*1.2</f>
        <v>414720</v>
      </c>
      <c r="V24" s="75" t="n">
        <f aca="false">U24*1.2</f>
        <v>497664</v>
      </c>
      <c r="W24" s="75" t="n">
        <v>750000</v>
      </c>
      <c r="X24" s="75" t="n">
        <f aca="false">W24*1.2</f>
        <v>900000</v>
      </c>
      <c r="Y24" s="75" t="n">
        <f aca="false">X24*1.2</f>
        <v>1080000</v>
      </c>
      <c r="Z24" s="75" t="n">
        <f aca="false">Y24*1.2</f>
        <v>1296000</v>
      </c>
      <c r="AA24" s="75" t="n">
        <f aca="false">Z24*1.2</f>
        <v>1555200</v>
      </c>
      <c r="AB24" s="77" t="n">
        <f aca="false">AA24*1.2</f>
        <v>1866240</v>
      </c>
      <c r="AC24" s="63" t="n">
        <f aca="false">SUM(Q24:AB24)</f>
        <v>9433424</v>
      </c>
      <c r="AD24" s="75"/>
      <c r="AE24" s="75"/>
      <c r="AF24" s="75"/>
      <c r="AG24" s="75"/>
      <c r="AH24" s="75"/>
      <c r="AI24" s="75"/>
      <c r="AJ24" s="75"/>
      <c r="AK24" s="75"/>
      <c r="AL24" s="75"/>
      <c r="AM24" s="75"/>
      <c r="AN24" s="75"/>
      <c r="AO24" s="75"/>
      <c r="AP24" s="75"/>
      <c r="AQ24" s="75"/>
      <c r="AR24" s="75"/>
      <c r="AS24" s="75"/>
      <c r="AT24" s="75"/>
      <c r="AU24" s="75"/>
      <c r="AV24" s="75"/>
      <c r="AW24" s="75"/>
      <c r="AX24" s="75"/>
      <c r="AY24" s="75"/>
      <c r="AZ24" s="75"/>
      <c r="BA24" s="75"/>
      <c r="BB24" s="75"/>
      <c r="BC24" s="75"/>
      <c r="BD24" s="75"/>
      <c r="BE24" s="75"/>
      <c r="BF24" s="75"/>
      <c r="BG24" s="75"/>
      <c r="BH24" s="75"/>
      <c r="BI24" s="75"/>
      <c r="BJ24" s="75"/>
      <c r="BK24" s="75"/>
      <c r="BL24" s="75"/>
      <c r="BM24" s="75"/>
      <c r="BN24" s="75"/>
      <c r="BO24" s="75"/>
      <c r="BP24" s="75"/>
      <c r="BQ24" s="75"/>
      <c r="BR24" s="75"/>
      <c r="BS24" s="75"/>
      <c r="BT24" s="75"/>
      <c r="BU24" s="75"/>
      <c r="BV24" s="75"/>
      <c r="BW24" s="75"/>
      <c r="BX24" s="75"/>
      <c r="BY24" s="75"/>
      <c r="BZ24" s="75"/>
      <c r="CA24" s="75"/>
      <c r="CB24" s="75"/>
      <c r="CC24" s="75"/>
      <c r="CD24" s="75"/>
      <c r="CE24" s="75"/>
      <c r="CF24" s="75"/>
      <c r="CG24" s="75"/>
      <c r="CH24" s="75"/>
      <c r="CI24" s="75"/>
      <c r="CJ24" s="75"/>
      <c r="CK24" s="75"/>
      <c r="CL24" s="75"/>
      <c r="CM24" s="75"/>
      <c r="CN24" s="75"/>
      <c r="CO24" s="75"/>
      <c r="CP24" s="75"/>
      <c r="CQ24" s="75"/>
      <c r="CR24" s="75"/>
      <c r="CS24" s="75"/>
      <c r="CT24" s="75"/>
      <c r="CU24" s="75"/>
      <c r="CV24" s="75"/>
      <c r="CW24" s="75"/>
      <c r="CX24" s="75"/>
      <c r="CY24" s="75"/>
      <c r="CZ24" s="75"/>
      <c r="DA24" s="75"/>
      <c r="DB24" s="75"/>
      <c r="DC24" s="75"/>
      <c r="DD24" s="75"/>
      <c r="DE24" s="75"/>
      <c r="DF24" s="75"/>
      <c r="DG24" s="75"/>
      <c r="DH24" s="75"/>
      <c r="DI24" s="75"/>
      <c r="DJ24" s="75"/>
      <c r="DK24" s="75"/>
      <c r="DL24" s="75"/>
      <c r="DM24" s="75"/>
      <c r="DN24" s="75"/>
      <c r="DO24" s="75"/>
      <c r="DP24" s="75"/>
      <c r="DQ24" s="75"/>
      <c r="DR24" s="75"/>
      <c r="DS24" s="75"/>
      <c r="DT24" s="75"/>
      <c r="DU24" s="75"/>
      <c r="DV24" s="75"/>
      <c r="DW24" s="75"/>
      <c r="DX24" s="75"/>
      <c r="DY24" s="75"/>
      <c r="DZ24" s="75"/>
      <c r="EA24" s="75"/>
      <c r="EB24" s="75"/>
      <c r="EC24" s="75"/>
      <c r="ED24" s="75"/>
      <c r="EE24" s="75"/>
      <c r="EF24" s="75"/>
      <c r="EG24" s="75"/>
      <c r="EH24" s="75"/>
      <c r="EI24" s="75"/>
      <c r="EJ24" s="75"/>
      <c r="EK24" s="75"/>
      <c r="EL24" s="75"/>
      <c r="EM24" s="75"/>
      <c r="EN24" s="75"/>
      <c r="EO24" s="75"/>
      <c r="EP24" s="75"/>
      <c r="EQ24" s="75"/>
      <c r="ER24" s="75"/>
      <c r="ES24" s="75"/>
      <c r="ET24" s="75"/>
      <c r="EU24" s="75"/>
      <c r="EV24" s="75"/>
      <c r="EW24" s="75"/>
      <c r="EX24" s="75"/>
      <c r="EY24" s="75"/>
      <c r="EZ24" s="75"/>
      <c r="FA24" s="75"/>
      <c r="FB24" s="75"/>
      <c r="FC24" s="75"/>
      <c r="FD24" s="75"/>
      <c r="FE24" s="75"/>
      <c r="FF24" s="75"/>
      <c r="FG24" s="75"/>
      <c r="FH24" s="75"/>
      <c r="FI24" s="75"/>
      <c r="FJ24" s="75"/>
      <c r="FK24" s="75"/>
      <c r="FL24" s="75"/>
      <c r="FM24" s="75"/>
      <c r="FN24" s="75"/>
      <c r="FO24" s="75"/>
      <c r="FP24" s="75"/>
      <c r="FQ24" s="75"/>
      <c r="FR24" s="75"/>
      <c r="FS24" s="75"/>
      <c r="FT24" s="75"/>
      <c r="FU24" s="75"/>
      <c r="FV24" s="75"/>
      <c r="FW24" s="75"/>
      <c r="FX24" s="75"/>
      <c r="FY24" s="75"/>
      <c r="FZ24" s="75"/>
      <c r="GA24" s="75"/>
      <c r="GB24" s="75"/>
      <c r="GC24" s="75"/>
      <c r="GD24" s="75"/>
      <c r="GE24" s="75"/>
      <c r="GF24" s="75"/>
      <c r="GG24" s="75"/>
      <c r="GH24" s="75"/>
      <c r="GI24" s="75"/>
      <c r="GJ24" s="75"/>
      <c r="GK24" s="75"/>
      <c r="GL24" s="75"/>
      <c r="GM24" s="75"/>
      <c r="GN24" s="75"/>
      <c r="GO24" s="75"/>
      <c r="GP24" s="75"/>
      <c r="GQ24" s="75"/>
      <c r="GR24" s="75"/>
      <c r="GS24" s="75"/>
      <c r="GT24" s="75"/>
      <c r="GU24" s="75"/>
      <c r="GV24" s="75"/>
      <c r="GW24" s="75"/>
      <c r="GX24" s="75"/>
      <c r="GY24" s="75"/>
      <c r="GZ24" s="75"/>
      <c r="HA24" s="75"/>
      <c r="HB24" s="75"/>
      <c r="HC24" s="75"/>
      <c r="HD24" s="75"/>
      <c r="HE24" s="75"/>
      <c r="HF24" s="75"/>
      <c r="HG24" s="75"/>
      <c r="HH24" s="75"/>
      <c r="HI24" s="75"/>
      <c r="HJ24" s="75"/>
      <c r="HK24" s="75"/>
      <c r="HL24" s="75"/>
      <c r="HM24" s="75"/>
      <c r="HN24" s="75"/>
      <c r="HO24" s="75"/>
      <c r="HP24" s="75"/>
      <c r="HQ24" s="75"/>
      <c r="HR24" s="75"/>
      <c r="HS24" s="75"/>
      <c r="HT24" s="75"/>
      <c r="HU24" s="75"/>
      <c r="HV24" s="75"/>
      <c r="HW24" s="75"/>
      <c r="HX24" s="75"/>
      <c r="HY24" s="75"/>
      <c r="HZ24" s="75"/>
      <c r="IA24" s="75"/>
      <c r="IB24" s="75"/>
      <c r="IC24" s="75"/>
      <c r="ID24" s="75"/>
      <c r="IE24" s="75"/>
      <c r="IF24" s="75"/>
      <c r="IG24" s="75"/>
      <c r="IH24" s="75"/>
      <c r="II24" s="75"/>
      <c r="IJ24" s="75"/>
      <c r="IK24" s="75"/>
      <c r="IL24" s="75"/>
      <c r="IM24" s="75"/>
      <c r="IN24" s="75"/>
      <c r="IO24" s="75"/>
      <c r="IP24" s="75"/>
      <c r="IQ24" s="75"/>
      <c r="IR24" s="75"/>
      <c r="IS24" s="75"/>
      <c r="IT24" s="75"/>
      <c r="IU24" s="75"/>
    </row>
    <row r="25" s="78" customFormat="true" ht="13.45" hidden="false" customHeight="false" outlineLevel="0" collapsed="false">
      <c r="A25" s="72"/>
      <c r="B25" s="72" t="s">
        <v>88</v>
      </c>
      <c r="C25" s="79" t="n">
        <v>100</v>
      </c>
      <c r="D25" s="79" t="n">
        <v>100</v>
      </c>
      <c r="E25" s="79" t="n">
        <v>100</v>
      </c>
      <c r="F25" s="79" t="n">
        <v>100</v>
      </c>
      <c r="G25" s="79" t="n">
        <v>100</v>
      </c>
      <c r="H25" s="79" t="n">
        <v>100</v>
      </c>
      <c r="I25" s="79" t="n">
        <v>100</v>
      </c>
      <c r="J25" s="79" t="n">
        <v>100</v>
      </c>
      <c r="K25" s="79" t="n">
        <v>100</v>
      </c>
      <c r="L25" s="79" t="n">
        <v>100</v>
      </c>
      <c r="M25" s="79" t="n">
        <v>100</v>
      </c>
      <c r="N25" s="80" t="n">
        <v>100</v>
      </c>
      <c r="O25" s="79" t="n">
        <f aca="false">SUM(C25:N25)</f>
        <v>1200</v>
      </c>
      <c r="P25" s="75"/>
      <c r="Q25" s="81" t="n">
        <v>2000</v>
      </c>
      <c r="R25" s="82" t="n">
        <f aca="false">Q25</f>
        <v>2000</v>
      </c>
      <c r="S25" s="82" t="n">
        <f aca="false">R25</f>
        <v>2000</v>
      </c>
      <c r="T25" s="82" t="n">
        <f aca="false">S25</f>
        <v>2000</v>
      </c>
      <c r="U25" s="82" t="n">
        <f aca="false">T25</f>
        <v>2000</v>
      </c>
      <c r="V25" s="82" t="n">
        <f aca="false">U25</f>
        <v>2000</v>
      </c>
      <c r="W25" s="82" t="n">
        <v>4000</v>
      </c>
      <c r="X25" s="82" t="n">
        <f aca="false">W25</f>
        <v>4000</v>
      </c>
      <c r="Y25" s="82" t="n">
        <f aca="false">X25</f>
        <v>4000</v>
      </c>
      <c r="Z25" s="82" t="n">
        <f aca="false">Y25</f>
        <v>4000</v>
      </c>
      <c r="AA25" s="82" t="n">
        <f aca="false">Z25</f>
        <v>4000</v>
      </c>
      <c r="AB25" s="83" t="n">
        <f aca="false">AA25</f>
        <v>4000</v>
      </c>
      <c r="AC25" s="84" t="n">
        <f aca="false">SUM(Q25:AB25)</f>
        <v>36000</v>
      </c>
      <c r="AD25" s="75"/>
      <c r="AE25" s="75"/>
      <c r="AF25" s="75"/>
      <c r="AG25" s="75"/>
      <c r="AH25" s="75"/>
      <c r="AI25" s="75"/>
      <c r="AJ25" s="75"/>
      <c r="AK25" s="75"/>
      <c r="AL25" s="75"/>
      <c r="AM25" s="75"/>
      <c r="AN25" s="75"/>
      <c r="AO25" s="75"/>
      <c r="AP25" s="75"/>
      <c r="AQ25" s="75"/>
      <c r="AR25" s="75"/>
      <c r="AS25" s="75"/>
      <c r="AT25" s="75"/>
      <c r="AU25" s="75"/>
      <c r="AV25" s="75"/>
      <c r="AW25" s="75"/>
      <c r="AX25" s="75"/>
      <c r="AY25" s="75"/>
      <c r="AZ25" s="75"/>
      <c r="BA25" s="75"/>
      <c r="BB25" s="75"/>
      <c r="BC25" s="75"/>
      <c r="BD25" s="75"/>
      <c r="BE25" s="75"/>
      <c r="BF25" s="75"/>
      <c r="BG25" s="75"/>
      <c r="BH25" s="75"/>
      <c r="BI25" s="75"/>
      <c r="BJ25" s="75"/>
      <c r="BK25" s="75"/>
      <c r="BL25" s="75"/>
      <c r="BM25" s="75"/>
      <c r="BN25" s="75"/>
      <c r="BO25" s="75"/>
      <c r="BP25" s="75"/>
      <c r="BQ25" s="75"/>
      <c r="BR25" s="75"/>
      <c r="BS25" s="75"/>
      <c r="BT25" s="75"/>
      <c r="BU25" s="75"/>
      <c r="BV25" s="75"/>
      <c r="BW25" s="75"/>
      <c r="BX25" s="75"/>
      <c r="BY25" s="75"/>
      <c r="BZ25" s="75"/>
      <c r="CA25" s="75"/>
      <c r="CB25" s="75"/>
      <c r="CC25" s="75"/>
      <c r="CD25" s="75"/>
      <c r="CE25" s="75"/>
      <c r="CF25" s="75"/>
      <c r="CG25" s="75"/>
      <c r="CH25" s="75"/>
      <c r="CI25" s="75"/>
      <c r="CJ25" s="75"/>
      <c r="CK25" s="75"/>
      <c r="CL25" s="75"/>
      <c r="CM25" s="75"/>
      <c r="CN25" s="75"/>
      <c r="CO25" s="75"/>
      <c r="CP25" s="75"/>
      <c r="CQ25" s="75"/>
      <c r="CR25" s="75"/>
      <c r="CS25" s="75"/>
      <c r="CT25" s="75"/>
      <c r="CU25" s="75"/>
      <c r="CV25" s="75"/>
      <c r="CW25" s="75"/>
      <c r="CX25" s="75"/>
      <c r="CY25" s="75"/>
      <c r="CZ25" s="75"/>
      <c r="DA25" s="75"/>
      <c r="DB25" s="75"/>
      <c r="DC25" s="75"/>
      <c r="DD25" s="75"/>
      <c r="DE25" s="75"/>
      <c r="DF25" s="75"/>
      <c r="DG25" s="75"/>
      <c r="DH25" s="75"/>
      <c r="DI25" s="75"/>
      <c r="DJ25" s="75"/>
      <c r="DK25" s="75"/>
      <c r="DL25" s="75"/>
      <c r="DM25" s="75"/>
      <c r="DN25" s="75"/>
      <c r="DO25" s="75"/>
      <c r="DP25" s="75"/>
      <c r="DQ25" s="75"/>
      <c r="DR25" s="75"/>
      <c r="DS25" s="75"/>
      <c r="DT25" s="75"/>
      <c r="DU25" s="75"/>
      <c r="DV25" s="75"/>
      <c r="DW25" s="75"/>
      <c r="DX25" s="75"/>
      <c r="DY25" s="75"/>
      <c r="DZ25" s="75"/>
      <c r="EA25" s="75"/>
      <c r="EB25" s="75"/>
      <c r="EC25" s="75"/>
      <c r="ED25" s="75"/>
      <c r="EE25" s="75"/>
      <c r="EF25" s="75"/>
      <c r="EG25" s="75"/>
      <c r="EH25" s="75"/>
      <c r="EI25" s="75"/>
      <c r="EJ25" s="75"/>
      <c r="EK25" s="75"/>
      <c r="EL25" s="75"/>
      <c r="EM25" s="75"/>
      <c r="EN25" s="75"/>
      <c r="EO25" s="75"/>
      <c r="EP25" s="75"/>
      <c r="EQ25" s="75"/>
      <c r="ER25" s="75"/>
      <c r="ES25" s="75"/>
      <c r="ET25" s="75"/>
      <c r="EU25" s="75"/>
      <c r="EV25" s="75"/>
      <c r="EW25" s="75"/>
      <c r="EX25" s="75"/>
      <c r="EY25" s="75"/>
      <c r="EZ25" s="75"/>
      <c r="FA25" s="75"/>
      <c r="FB25" s="75"/>
      <c r="FC25" s="75"/>
      <c r="FD25" s="75"/>
      <c r="FE25" s="75"/>
      <c r="FF25" s="75"/>
      <c r="FG25" s="75"/>
      <c r="FH25" s="75"/>
      <c r="FI25" s="75"/>
      <c r="FJ25" s="75"/>
      <c r="FK25" s="75"/>
      <c r="FL25" s="75"/>
      <c r="FM25" s="75"/>
      <c r="FN25" s="75"/>
      <c r="FO25" s="75"/>
      <c r="FP25" s="75"/>
      <c r="FQ25" s="75"/>
      <c r="FR25" s="75"/>
      <c r="FS25" s="75"/>
      <c r="FT25" s="75"/>
      <c r="FU25" s="75"/>
      <c r="FV25" s="75"/>
      <c r="FW25" s="75"/>
      <c r="FX25" s="75"/>
      <c r="FY25" s="75"/>
      <c r="FZ25" s="75"/>
      <c r="GA25" s="75"/>
      <c r="GB25" s="75"/>
      <c r="GC25" s="75"/>
      <c r="GD25" s="75"/>
      <c r="GE25" s="75"/>
      <c r="GF25" s="75"/>
      <c r="GG25" s="75"/>
      <c r="GH25" s="75"/>
      <c r="GI25" s="75"/>
      <c r="GJ25" s="75"/>
      <c r="GK25" s="75"/>
      <c r="GL25" s="75"/>
      <c r="GM25" s="75"/>
      <c r="GN25" s="75"/>
      <c r="GO25" s="75"/>
      <c r="GP25" s="75"/>
      <c r="GQ25" s="75"/>
      <c r="GR25" s="75"/>
      <c r="GS25" s="75"/>
      <c r="GT25" s="75"/>
      <c r="GU25" s="75"/>
      <c r="GV25" s="75"/>
      <c r="GW25" s="75"/>
      <c r="GX25" s="75"/>
      <c r="GY25" s="75"/>
      <c r="GZ25" s="75"/>
      <c r="HA25" s="75"/>
      <c r="HB25" s="75"/>
      <c r="HC25" s="75"/>
      <c r="HD25" s="75"/>
      <c r="HE25" s="75"/>
      <c r="HF25" s="75"/>
      <c r="HG25" s="75"/>
      <c r="HH25" s="75"/>
      <c r="HI25" s="75"/>
      <c r="HJ25" s="75"/>
      <c r="HK25" s="75"/>
      <c r="HL25" s="75"/>
      <c r="HM25" s="75"/>
      <c r="HN25" s="75"/>
      <c r="HO25" s="75"/>
      <c r="HP25" s="75"/>
      <c r="HQ25" s="75"/>
      <c r="HR25" s="75"/>
      <c r="HS25" s="75"/>
      <c r="HT25" s="75"/>
      <c r="HU25" s="75"/>
      <c r="HV25" s="75"/>
      <c r="HW25" s="75"/>
      <c r="HX25" s="75"/>
      <c r="HY25" s="75"/>
      <c r="HZ25" s="75"/>
      <c r="IA25" s="75"/>
      <c r="IB25" s="75"/>
      <c r="IC25" s="75"/>
      <c r="ID25" s="75"/>
      <c r="IE25" s="75"/>
      <c r="IF25" s="75"/>
      <c r="IG25" s="75"/>
      <c r="IH25" s="75"/>
      <c r="II25" s="75"/>
      <c r="IJ25" s="75"/>
      <c r="IK25" s="75"/>
      <c r="IL25" s="75"/>
      <c r="IM25" s="75"/>
      <c r="IN25" s="75"/>
      <c r="IO25" s="75"/>
      <c r="IP25" s="75"/>
      <c r="IQ25" s="75"/>
      <c r="IR25" s="75"/>
      <c r="IS25" s="75"/>
      <c r="IT25" s="75"/>
      <c r="IU25" s="75"/>
    </row>
    <row r="26" s="78" customFormat="true" ht="13.45" hidden="false" customHeight="false" outlineLevel="0" collapsed="false">
      <c r="A26" s="72" t="s">
        <v>89</v>
      </c>
      <c r="B26" s="72"/>
      <c r="C26" s="73" t="n">
        <f aca="false">SUM(C6:C25)</f>
        <v>11483</v>
      </c>
      <c r="D26" s="73" t="n">
        <f aca="false">SUM(D6:D25)</f>
        <v>8583</v>
      </c>
      <c r="E26" s="73" t="n">
        <f aca="false">SUM(E6:E25)</f>
        <v>10603</v>
      </c>
      <c r="F26" s="73" t="n">
        <f aca="false">SUM(F6:F25)</f>
        <v>7908</v>
      </c>
      <c r="G26" s="73" t="n">
        <f aca="false">SUM(G6:G25)</f>
        <v>11158</v>
      </c>
      <c r="H26" s="73" t="n">
        <f aca="false">SUM(H6:H25)</f>
        <v>33208</v>
      </c>
      <c r="I26" s="73" t="n">
        <f aca="false">SUM(I6:I25)</f>
        <v>12791</v>
      </c>
      <c r="J26" s="73" t="n">
        <f aca="false">SUM(J6:J25)</f>
        <v>14541</v>
      </c>
      <c r="K26" s="73" t="n">
        <f aca="false">SUM(K6:K25)</f>
        <v>29528</v>
      </c>
      <c r="L26" s="73" t="n">
        <f aca="false">SUM(L6:L25)</f>
        <v>15430</v>
      </c>
      <c r="M26" s="73" t="n">
        <f aca="false">SUM(M6:M25)</f>
        <v>17136.8</v>
      </c>
      <c r="N26" s="74" t="n">
        <f aca="false">SUM(N6:N25)</f>
        <v>14510.16</v>
      </c>
      <c r="O26" s="73" t="n">
        <f aca="false">SUM(O6:O25)</f>
        <v>186379.96</v>
      </c>
      <c r="P26" s="75"/>
      <c r="Q26" s="74" t="n">
        <f aca="false">SUM(Q6:Q25)</f>
        <v>1287608</v>
      </c>
      <c r="R26" s="74" t="n">
        <f aca="false">SUM(R6:R25)</f>
        <v>1352000</v>
      </c>
      <c r="S26" s="74" t="n">
        <f aca="false">SUM(S6:S25)</f>
        <v>1607900</v>
      </c>
      <c r="T26" s="74" t="n">
        <f aca="false">SUM(T6:T25)</f>
        <v>1913080</v>
      </c>
      <c r="U26" s="74" t="n">
        <f aca="false">SUM(U6:U25)</f>
        <v>2281097.5</v>
      </c>
      <c r="V26" s="74" t="n">
        <f aca="false">SUM(V6:V25)</f>
        <v>2718591.225</v>
      </c>
      <c r="W26" s="74" t="n">
        <f aca="false">SUM(W6:W25)</f>
        <v>3932609.22125</v>
      </c>
      <c r="X26" s="74" t="n">
        <f aca="false">SUM(X6:X25)</f>
        <v>4691649.3808125</v>
      </c>
      <c r="Y26" s="74" t="n">
        <f aca="false">SUM(Y6:Y25)</f>
        <v>5607520.01820313</v>
      </c>
      <c r="Z26" s="74" t="n">
        <f aca="false">SUM(Z6:Z25)</f>
        <v>6699050.50429828</v>
      </c>
      <c r="AA26" s="74" t="n">
        <f aca="false">SUM(AA6:AA25)</f>
        <v>8006827.9632167</v>
      </c>
      <c r="AB26" s="74" t="n">
        <f aca="false">SUM(AB6:AB25)</f>
        <v>9574898.03845138</v>
      </c>
      <c r="AC26" s="74" t="n">
        <f aca="false">SUM(AC6:AC25)</f>
        <v>49672831.851232</v>
      </c>
      <c r="AD26" s="75"/>
      <c r="AE26" s="75"/>
      <c r="AF26" s="75"/>
      <c r="AG26" s="75"/>
      <c r="AH26" s="75"/>
      <c r="AI26" s="75"/>
      <c r="AJ26" s="75"/>
      <c r="AK26" s="75"/>
      <c r="AL26" s="75"/>
      <c r="AM26" s="75"/>
      <c r="AN26" s="75"/>
      <c r="AO26" s="75"/>
      <c r="AP26" s="75"/>
      <c r="AQ26" s="75"/>
      <c r="AR26" s="75"/>
      <c r="AS26" s="75"/>
      <c r="AT26" s="75"/>
      <c r="AU26" s="75"/>
      <c r="AV26" s="75"/>
      <c r="AW26" s="75"/>
      <c r="AX26" s="75"/>
      <c r="AY26" s="75"/>
      <c r="AZ26" s="75"/>
      <c r="BA26" s="75"/>
      <c r="BB26" s="75"/>
      <c r="BC26" s="75"/>
      <c r="BD26" s="75"/>
      <c r="BE26" s="75"/>
      <c r="BF26" s="75"/>
      <c r="BG26" s="75"/>
      <c r="BH26" s="75"/>
      <c r="BI26" s="75"/>
      <c r="BJ26" s="75"/>
      <c r="BK26" s="75"/>
      <c r="BL26" s="75"/>
      <c r="BM26" s="75"/>
      <c r="BN26" s="75"/>
      <c r="BO26" s="75"/>
      <c r="BP26" s="75"/>
      <c r="BQ26" s="75"/>
      <c r="BR26" s="75"/>
      <c r="BS26" s="75"/>
      <c r="BT26" s="75"/>
      <c r="BU26" s="75"/>
      <c r="BV26" s="75"/>
      <c r="BW26" s="75"/>
      <c r="BX26" s="75"/>
      <c r="BY26" s="75"/>
      <c r="BZ26" s="75"/>
      <c r="CA26" s="75"/>
      <c r="CB26" s="75"/>
      <c r="CC26" s="75"/>
      <c r="CD26" s="75"/>
      <c r="CE26" s="75"/>
      <c r="CF26" s="75"/>
      <c r="CG26" s="75"/>
      <c r="CH26" s="75"/>
      <c r="CI26" s="75"/>
      <c r="CJ26" s="75"/>
      <c r="CK26" s="75"/>
      <c r="CL26" s="75"/>
      <c r="CM26" s="75"/>
      <c r="CN26" s="75"/>
      <c r="CO26" s="75"/>
      <c r="CP26" s="75"/>
      <c r="CQ26" s="75"/>
      <c r="CR26" s="75"/>
      <c r="CS26" s="75"/>
      <c r="CT26" s="75"/>
      <c r="CU26" s="75"/>
      <c r="CV26" s="75"/>
      <c r="CW26" s="75"/>
      <c r="CX26" s="75"/>
      <c r="CY26" s="75"/>
      <c r="CZ26" s="75"/>
      <c r="DA26" s="75"/>
      <c r="DB26" s="75"/>
      <c r="DC26" s="75"/>
      <c r="DD26" s="75"/>
      <c r="DE26" s="75"/>
      <c r="DF26" s="75"/>
      <c r="DG26" s="75"/>
      <c r="DH26" s="75"/>
      <c r="DI26" s="75"/>
      <c r="DJ26" s="75"/>
      <c r="DK26" s="75"/>
      <c r="DL26" s="75"/>
      <c r="DM26" s="75"/>
      <c r="DN26" s="75"/>
      <c r="DO26" s="75"/>
      <c r="DP26" s="75"/>
      <c r="DQ26" s="75"/>
      <c r="DR26" s="75"/>
      <c r="DS26" s="75"/>
      <c r="DT26" s="75"/>
      <c r="DU26" s="75"/>
      <c r="DV26" s="75"/>
      <c r="DW26" s="75"/>
      <c r="DX26" s="75"/>
      <c r="DY26" s="75"/>
      <c r="DZ26" s="75"/>
      <c r="EA26" s="75"/>
      <c r="EB26" s="75"/>
      <c r="EC26" s="75"/>
      <c r="ED26" s="75"/>
      <c r="EE26" s="75"/>
      <c r="EF26" s="75"/>
      <c r="EG26" s="75"/>
      <c r="EH26" s="75"/>
      <c r="EI26" s="75"/>
      <c r="EJ26" s="75"/>
      <c r="EK26" s="75"/>
      <c r="EL26" s="75"/>
      <c r="EM26" s="75"/>
      <c r="EN26" s="75"/>
      <c r="EO26" s="75"/>
      <c r="EP26" s="75"/>
      <c r="EQ26" s="75"/>
      <c r="ER26" s="75"/>
      <c r="ES26" s="75"/>
      <c r="ET26" s="75"/>
      <c r="EU26" s="75"/>
      <c r="EV26" s="75"/>
      <c r="EW26" s="75"/>
      <c r="EX26" s="75"/>
      <c r="EY26" s="75"/>
      <c r="EZ26" s="75"/>
      <c r="FA26" s="75"/>
      <c r="FB26" s="75"/>
      <c r="FC26" s="75"/>
      <c r="FD26" s="75"/>
      <c r="FE26" s="75"/>
      <c r="FF26" s="75"/>
      <c r="FG26" s="75"/>
      <c r="FH26" s="75"/>
      <c r="FI26" s="75"/>
      <c r="FJ26" s="75"/>
      <c r="FK26" s="75"/>
      <c r="FL26" s="75"/>
      <c r="FM26" s="75"/>
      <c r="FN26" s="75"/>
      <c r="FO26" s="75"/>
      <c r="FP26" s="75"/>
      <c r="FQ26" s="75"/>
      <c r="FR26" s="75"/>
      <c r="FS26" s="75"/>
      <c r="FT26" s="75"/>
      <c r="FU26" s="75"/>
      <c r="FV26" s="75"/>
      <c r="FW26" s="75"/>
      <c r="FX26" s="75"/>
      <c r="FY26" s="75"/>
      <c r="FZ26" s="75"/>
      <c r="GA26" s="75"/>
      <c r="GB26" s="75"/>
      <c r="GC26" s="75"/>
      <c r="GD26" s="75"/>
      <c r="GE26" s="75"/>
      <c r="GF26" s="75"/>
      <c r="GG26" s="75"/>
      <c r="GH26" s="75"/>
      <c r="GI26" s="75"/>
      <c r="GJ26" s="75"/>
      <c r="GK26" s="75"/>
      <c r="GL26" s="75"/>
      <c r="GM26" s="75"/>
      <c r="GN26" s="75"/>
      <c r="GO26" s="75"/>
      <c r="GP26" s="75"/>
      <c r="GQ26" s="75"/>
      <c r="GR26" s="75"/>
      <c r="GS26" s="75"/>
      <c r="GT26" s="75"/>
      <c r="GU26" s="75"/>
      <c r="GV26" s="75"/>
      <c r="GW26" s="75"/>
      <c r="GX26" s="75"/>
      <c r="GY26" s="75"/>
      <c r="GZ26" s="75"/>
      <c r="HA26" s="75"/>
      <c r="HB26" s="75"/>
      <c r="HC26" s="75"/>
      <c r="HD26" s="75"/>
      <c r="HE26" s="75"/>
      <c r="HF26" s="75"/>
      <c r="HG26" s="75"/>
      <c r="HH26" s="75"/>
      <c r="HI26" s="75"/>
      <c r="HJ26" s="75"/>
      <c r="HK26" s="75"/>
      <c r="HL26" s="75"/>
      <c r="HM26" s="75"/>
      <c r="HN26" s="75"/>
      <c r="HO26" s="75"/>
      <c r="HP26" s="75"/>
      <c r="HQ26" s="75"/>
      <c r="HR26" s="75"/>
      <c r="HS26" s="75"/>
      <c r="HT26" s="75"/>
      <c r="HU26" s="75"/>
      <c r="HV26" s="75"/>
      <c r="HW26" s="75"/>
      <c r="HX26" s="75"/>
      <c r="HY26" s="75"/>
      <c r="HZ26" s="75"/>
      <c r="IA26" s="75"/>
      <c r="IB26" s="75"/>
      <c r="IC26" s="75"/>
      <c r="ID26" s="75"/>
      <c r="IE26" s="75"/>
      <c r="IF26" s="75"/>
      <c r="IG26" s="75"/>
      <c r="IH26" s="75"/>
      <c r="II26" s="75"/>
      <c r="IJ26" s="75"/>
      <c r="IK26" s="75"/>
      <c r="IL26" s="75"/>
      <c r="IM26" s="75"/>
      <c r="IN26" s="75"/>
      <c r="IO26" s="75"/>
      <c r="IP26" s="75"/>
      <c r="IQ26" s="75"/>
      <c r="IR26" s="75"/>
      <c r="IS26" s="75"/>
      <c r="IT26" s="75"/>
      <c r="IU26" s="75"/>
    </row>
    <row r="27" customFormat="false" ht="14.65" hidden="false" customHeight="false" outlineLevel="0" collapsed="false">
      <c r="A27" s="62"/>
      <c r="B27" s="62"/>
      <c r="C27" s="63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</row>
    <row r="28" customFormat="false" ht="14.65" hidden="false" customHeight="false" outlineLevel="0" collapsed="false">
      <c r="G28" s="1" t="s">
        <v>90</v>
      </c>
      <c r="H28" s="85" t="n">
        <f aca="false">SUM(C26:H26)</f>
        <v>82943</v>
      </c>
    </row>
    <row r="41" customFormat="false" ht="14.65" hidden="false" customHeight="false" outlineLevel="0" collapsed="false"/>
    <row r="42" customFormat="false" ht="14.65" hidden="false" customHeight="false" outlineLevel="0" collapsed="false"/>
    <row r="51" customFormat="false" ht="14.65" hidden="false" customHeight="false" outlineLevel="0" collapsed="false"/>
    <row r="59" customFormat="false" ht="14.65" hidden="false" customHeight="false" outlineLevel="0" collapsed="false"/>
  </sheetData>
  <printOptions headings="false" gridLines="false" gridLinesSet="true" horizontalCentered="false" verticalCentered="false"/>
  <pageMargins left="0.7875" right="0.7875" top="1.025" bottom="1.025" header="0.7875" footer="0.7875"/>
  <pageSetup paperSize="1" scale="100" firstPageNumber="1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&amp;C&amp;A</oddHeader>
    <oddFooter>&amp;CPage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1:74"/>
  <sheetViews>
    <sheetView windowProtection="tru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pane xSplit="7" ySplit="0" topLeftCell="H1" activePane="topRight" state="frozen"/>
      <selection pane="topLeft" activeCell="A1" activeCellId="0" sqref="A1"/>
      <selection pane="topRight" activeCell="H31" activeCellId="0" sqref="H31"/>
    </sheetView>
  </sheetViews>
  <sheetFormatPr defaultRowHeight="15.8"/>
  <cols>
    <col collapsed="false" hidden="false" max="1" min="1" style="86" width="10.8367346938776"/>
    <col collapsed="false" hidden="false" max="2" min="2" style="86" width="27.484693877551"/>
    <col collapsed="false" hidden="false" max="3" min="3" style="86" width="10.8520408163265"/>
    <col collapsed="false" hidden="true" max="7" min="4" style="86" width="0"/>
    <col collapsed="false" hidden="false" max="11" min="8" style="86" width="12.5714285714286"/>
    <col collapsed="false" hidden="false" max="12" min="12" style="86" width="13.4183673469388"/>
    <col collapsed="false" hidden="false" max="16" min="13" style="86" width="12.5714285714286"/>
    <col collapsed="false" hidden="false" max="19" min="17" style="86" width="13.7397959183673"/>
    <col collapsed="false" hidden="false" max="20" min="20" style="86" width="14.9285714285714"/>
    <col collapsed="false" hidden="false" max="21" min="21" style="86" width="2.75510204081633"/>
    <col collapsed="false" hidden="false" max="22" min="22" style="86" width="14.7295918367347"/>
    <col collapsed="false" hidden="false" max="23" min="23" style="86" width="14.3469387755102"/>
    <col collapsed="false" hidden="false" max="24" min="24" style="86" width="13.6632653061225"/>
    <col collapsed="false" hidden="false" max="25" min="25" style="86" width="14.0459183673469"/>
    <col collapsed="false" hidden="false" max="26" min="26" style="86" width="14.7295918367347"/>
    <col collapsed="false" hidden="false" max="27" min="27" style="86" width="13.7857142857143"/>
    <col collapsed="false" hidden="false" max="28" min="28" style="86" width="13.8928571428571"/>
    <col collapsed="false" hidden="false" max="29" min="29" style="86" width="13.9387755102041"/>
    <col collapsed="false" hidden="false" max="30" min="30" style="86" width="13.8214285714286"/>
    <col collapsed="false" hidden="false" max="31" min="31" style="86" width="13.6632653061225"/>
    <col collapsed="false" hidden="false" max="32" min="32" style="86" width="14.9132653061225"/>
    <col collapsed="false" hidden="false" max="33" min="33" style="86" width="16.0918367346939"/>
    <col collapsed="false" hidden="false" max="34" min="34" style="86" width="14.9285714285714"/>
    <col collapsed="false" hidden="false" max="35" min="35" style="86" width="3.48469387755102"/>
    <col collapsed="false" hidden="false" max="36" min="36" style="86" width="15.1377551020408"/>
    <col collapsed="false" hidden="false" max="37" min="37" style="86" width="13.9387755102041"/>
    <col collapsed="false" hidden="false" max="38" min="38" style="86" width="14.6173469387755"/>
    <col collapsed="false" hidden="false" max="39" min="39" style="86" width="15.0204081632653"/>
    <col collapsed="false" hidden="false" max="40" min="40" style="86" width="15.9540816326531"/>
    <col collapsed="false" hidden="false" max="41" min="41" style="86" width="17.1632653061224"/>
    <col collapsed="false" hidden="false" max="42" min="42" style="86" width="16.8928571428571"/>
    <col collapsed="false" hidden="false" max="43" min="43" style="86" width="15.1377551020408"/>
    <col collapsed="false" hidden="false" max="44" min="44" style="86" width="15.9540816326531"/>
    <col collapsed="false" hidden="false" max="45" min="45" style="86" width="16.7755102040816"/>
    <col collapsed="false" hidden="false" max="46" min="46" style="86" width="15.8214285714286"/>
    <col collapsed="false" hidden="false" max="47" min="47" style="86" width="15.3010204081633"/>
    <col collapsed="false" hidden="false" max="48" min="48" style="86" width="17.969387755102"/>
    <col collapsed="false" hidden="false" max="49" min="49" style="86" width="17.4336734693878"/>
    <col collapsed="false" hidden="false" max="257" min="50" style="86" width="10.8520408163265"/>
    <col collapsed="false" hidden="false" max="1025" min="258" style="0" width="10.8520408163265"/>
  </cols>
  <sheetData>
    <row r="1" customFormat="false" ht="19.35" hidden="false" customHeight="false" outlineLevel="0" collapsed="false">
      <c r="A1" s="52" t="s">
        <v>0</v>
      </c>
      <c r="B1" s="53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5"/>
      <c r="U1" s="55"/>
    </row>
    <row r="2" customFormat="false" ht="15.8" hidden="false" customHeight="false" outlineLevel="0" collapsed="false">
      <c r="A2" s="56" t="s">
        <v>91</v>
      </c>
      <c r="B2" s="57"/>
      <c r="C2" s="57"/>
      <c r="D2" s="57"/>
      <c r="E2" s="57"/>
      <c r="F2" s="57"/>
      <c r="G2" s="57"/>
      <c r="H2" s="37" t="s">
        <v>25</v>
      </c>
      <c r="I2" s="37" t="s">
        <v>26</v>
      </c>
      <c r="J2" s="37" t="s">
        <v>27</v>
      </c>
      <c r="K2" s="37" t="s">
        <v>28</v>
      </c>
      <c r="L2" s="37" t="s">
        <v>29</v>
      </c>
      <c r="M2" s="37" t="s">
        <v>30</v>
      </c>
      <c r="N2" s="37" t="s">
        <v>31</v>
      </c>
      <c r="O2" s="37" t="s">
        <v>32</v>
      </c>
      <c r="P2" s="37" t="s">
        <v>33</v>
      </c>
      <c r="Q2" s="37" t="s">
        <v>34</v>
      </c>
      <c r="R2" s="37" t="s">
        <v>35</v>
      </c>
      <c r="S2" s="60" t="s">
        <v>36</v>
      </c>
      <c r="T2" s="87" t="s">
        <v>37</v>
      </c>
      <c r="U2" s="87"/>
      <c r="V2" s="37" t="s">
        <v>25</v>
      </c>
      <c r="W2" s="37" t="s">
        <v>26</v>
      </c>
      <c r="X2" s="37" t="s">
        <v>27</v>
      </c>
      <c r="Y2" s="37" t="s">
        <v>28</v>
      </c>
      <c r="Z2" s="37" t="s">
        <v>29</v>
      </c>
      <c r="AA2" s="37" t="s">
        <v>30</v>
      </c>
      <c r="AB2" s="37" t="s">
        <v>31</v>
      </c>
      <c r="AC2" s="37" t="s">
        <v>32</v>
      </c>
      <c r="AD2" s="37" t="s">
        <v>33</v>
      </c>
      <c r="AE2" s="37" t="s">
        <v>34</v>
      </c>
      <c r="AF2" s="37" t="s">
        <v>35</v>
      </c>
      <c r="AG2" s="60" t="s">
        <v>36</v>
      </c>
      <c r="AH2" s="36" t="s">
        <v>38</v>
      </c>
      <c r="AI2" s="36"/>
      <c r="AJ2" s="37" t="s">
        <v>25</v>
      </c>
      <c r="AK2" s="37" t="s">
        <v>26</v>
      </c>
      <c r="AL2" s="37" t="s">
        <v>27</v>
      </c>
      <c r="AM2" s="37" t="s">
        <v>28</v>
      </c>
      <c r="AN2" s="37" t="s">
        <v>29</v>
      </c>
      <c r="AO2" s="37" t="s">
        <v>30</v>
      </c>
      <c r="AP2" s="37" t="s">
        <v>31</v>
      </c>
      <c r="AQ2" s="37" t="s">
        <v>32</v>
      </c>
      <c r="AR2" s="37" t="s">
        <v>33</v>
      </c>
      <c r="AS2" s="37" t="s">
        <v>34</v>
      </c>
      <c r="AT2" s="37" t="s">
        <v>35</v>
      </c>
      <c r="AU2" s="60" t="s">
        <v>36</v>
      </c>
      <c r="AV2" s="36" t="s">
        <v>39</v>
      </c>
    </row>
    <row r="3" customFormat="false" ht="15.8" hidden="false" customHeight="false" outlineLevel="0" collapsed="false">
      <c r="A3" s="57"/>
      <c r="B3" s="62"/>
      <c r="C3" s="62"/>
      <c r="D3" s="57"/>
      <c r="E3" s="88"/>
      <c r="F3" s="88"/>
      <c r="G3" s="88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89"/>
      <c r="T3" s="57"/>
      <c r="U3" s="57"/>
      <c r="AG3" s="90"/>
      <c r="AU3" s="90"/>
    </row>
    <row r="4" customFormat="false" ht="15.8" hidden="false" customHeight="false" outlineLevel="0" collapsed="false">
      <c r="A4" s="91" t="s">
        <v>92</v>
      </c>
      <c r="B4" s="91"/>
      <c r="C4" s="91"/>
      <c r="D4" s="91"/>
      <c r="E4" s="88"/>
      <c r="F4" s="88"/>
      <c r="G4" s="88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89"/>
      <c r="T4" s="57"/>
      <c r="U4" s="57"/>
      <c r="AG4" s="90"/>
      <c r="AU4" s="90"/>
    </row>
    <row r="5" customFormat="false" ht="15.8" hidden="false" customHeight="false" outlineLevel="0" collapsed="false">
      <c r="A5" s="91"/>
      <c r="B5" s="91" t="s">
        <v>93</v>
      </c>
      <c r="C5" s="91"/>
      <c r="D5" s="91"/>
      <c r="E5" s="88"/>
      <c r="F5" s="88"/>
      <c r="G5" s="88"/>
      <c r="H5" s="57" t="n">
        <v>0</v>
      </c>
      <c r="I5" s="57" t="n">
        <v>3</v>
      </c>
      <c r="J5" s="57" t="n">
        <v>15</v>
      </c>
      <c r="K5" s="57" t="n">
        <v>30</v>
      </c>
      <c r="L5" s="57" t="n">
        <v>40</v>
      </c>
      <c r="M5" s="57" t="n">
        <f aca="false">L5*1.5</f>
        <v>60</v>
      </c>
      <c r="N5" s="57" t="n">
        <f aca="false">M5*1.2</f>
        <v>72</v>
      </c>
      <c r="O5" s="92" t="n">
        <f aca="false">N5</f>
        <v>72</v>
      </c>
      <c r="P5" s="92" t="n">
        <f aca="false">O5*1.2</f>
        <v>86.4</v>
      </c>
      <c r="Q5" s="92" t="n">
        <f aca="false">P5*1.2</f>
        <v>103.68</v>
      </c>
      <c r="R5" s="92" t="n">
        <f aca="false">Q5*1.2</f>
        <v>124.416</v>
      </c>
      <c r="S5" s="93" t="n">
        <v>150</v>
      </c>
      <c r="T5" s="57" t="n">
        <f aca="false">SUM(H5:N5)</f>
        <v>220</v>
      </c>
      <c r="U5" s="0"/>
      <c r="V5" s="92" t="n">
        <f aca="false">S5</f>
        <v>150</v>
      </c>
      <c r="W5" s="92" t="n">
        <f aca="false">V5+100</f>
        <v>250</v>
      </c>
      <c r="X5" s="92" t="n">
        <f aca="false">W5*1.25</f>
        <v>312.5</v>
      </c>
      <c r="Y5" s="92" t="n">
        <f aca="false">(X5*1.5)-MOD((X5*1.5),10)</f>
        <v>460</v>
      </c>
      <c r="Z5" s="92" t="n">
        <f aca="false">(Y5*1.5)-MOD((Y5*1.5),10)</f>
        <v>690</v>
      </c>
      <c r="AA5" s="92" t="n">
        <f aca="false">(Z5*1.5)-MOD((Z5*1.5),10)</f>
        <v>1030</v>
      </c>
      <c r="AB5" s="92" t="n">
        <f aca="false">(AA5*1.2)-MOD((AA5*1.2),10)</f>
        <v>1230</v>
      </c>
      <c r="AC5" s="92" t="n">
        <f aca="false">(AB5*1.2)-MOD((AB5*1.2),10)</f>
        <v>1470</v>
      </c>
      <c r="AD5" s="92" t="n">
        <f aca="false">AC5</f>
        <v>1470</v>
      </c>
      <c r="AE5" s="92" t="n">
        <f aca="false">(AD5*1.2)-MOD((AD5*1.2),10)</f>
        <v>1760</v>
      </c>
      <c r="AF5" s="92" t="n">
        <f aca="false">(AE5*1.25)-MOD((AE5*1.25),10)</f>
        <v>2200</v>
      </c>
      <c r="AG5" s="93" t="n">
        <f aca="false">AF5</f>
        <v>2200</v>
      </c>
      <c r="AH5" s="92" t="n">
        <f aca="false">SUM(V5:AG5)</f>
        <v>13222.5</v>
      </c>
      <c r="AI5" s="0"/>
      <c r="AJ5" s="92" t="n">
        <f aca="false">AG5</f>
        <v>2200</v>
      </c>
      <c r="AK5" s="92" t="n">
        <f aca="false">(AJ5*1.2)-MOD((AJ5*1.2),10)</f>
        <v>2640</v>
      </c>
      <c r="AL5" s="92" t="n">
        <f aca="false">AK5</f>
        <v>2640</v>
      </c>
      <c r="AM5" s="92" t="n">
        <f aca="false">(AL5*1.2)-MOD((AL5*1.2),10)</f>
        <v>3160</v>
      </c>
      <c r="AN5" s="92" t="n">
        <f aca="false">AM5+400</f>
        <v>3560</v>
      </c>
      <c r="AO5" s="92" t="n">
        <f aca="false">(AN5*1.1)-MOD((AN5*1.1),10)</f>
        <v>3910</v>
      </c>
      <c r="AP5" s="92" t="n">
        <v>15000</v>
      </c>
      <c r="AQ5" s="92" t="n">
        <v>15000</v>
      </c>
      <c r="AR5" s="92" t="n">
        <v>15000</v>
      </c>
      <c r="AS5" s="92" t="n">
        <v>15000</v>
      </c>
      <c r="AT5" s="92" t="n">
        <v>15000</v>
      </c>
      <c r="AU5" s="93" t="n">
        <v>15000</v>
      </c>
      <c r="AV5" s="92" t="n">
        <f aca="false">SUM(AE5:AP5)</f>
        <v>52492.5</v>
      </c>
      <c r="IS5" s="0"/>
      <c r="IT5" s="0"/>
      <c r="IU5" s="0"/>
      <c r="IV5" s="0"/>
      <c r="IW5" s="0"/>
    </row>
    <row r="6" customFormat="false" ht="15.8" hidden="false" customHeight="false" outlineLevel="0" collapsed="false">
      <c r="A6" s="62"/>
      <c r="B6" s="62" t="s">
        <v>94</v>
      </c>
      <c r="C6" s="62"/>
      <c r="D6" s="57"/>
      <c r="E6" s="94"/>
      <c r="F6" s="95"/>
      <c r="G6" s="95"/>
      <c r="H6" s="96" t="n">
        <f aca="false">H7*1.7</f>
        <v>6545</v>
      </c>
      <c r="I6" s="96" t="n">
        <f aca="false">I7*1.7</f>
        <v>6545</v>
      </c>
      <c r="J6" s="96" t="n">
        <f aca="false">J7*1.7</f>
        <v>6545</v>
      </c>
      <c r="K6" s="96" t="n">
        <f aca="false">K7*1.7</f>
        <v>6545</v>
      </c>
      <c r="L6" s="96" t="n">
        <f aca="false">L7*1.7</f>
        <v>6545</v>
      </c>
      <c r="M6" s="96" t="n">
        <f aca="false">M7*1.7</f>
        <v>6545</v>
      </c>
      <c r="N6" s="96" t="n">
        <f aca="false">N7*1.7</f>
        <v>6205</v>
      </c>
      <c r="O6" s="96" t="n">
        <f aca="false">O7*1.7</f>
        <v>6205</v>
      </c>
      <c r="P6" s="96" t="n">
        <f aca="false">P7*1.7</f>
        <v>6205</v>
      </c>
      <c r="Q6" s="96" t="n">
        <f aca="false">Q7*1.7</f>
        <v>6205</v>
      </c>
      <c r="R6" s="96" t="n">
        <f aca="false">R7*1.7</f>
        <v>5525</v>
      </c>
      <c r="S6" s="97" t="n">
        <f aca="false">S7*1.7</f>
        <v>5525</v>
      </c>
      <c r="T6" s="96" t="n">
        <f aca="false">T9/T5</f>
        <v>20717.1581818182</v>
      </c>
      <c r="U6" s="0"/>
      <c r="V6" s="98" t="n">
        <f aca="false">V7*1.6</f>
        <v>4720</v>
      </c>
      <c r="W6" s="98" t="n">
        <f aca="false">W7*1.65</f>
        <v>4702.5</v>
      </c>
      <c r="X6" s="98" t="n">
        <f aca="false">X7*1.65</f>
        <v>4702.5</v>
      </c>
      <c r="Y6" s="98" t="n">
        <f aca="false">Y7*1.65</f>
        <v>4702.5</v>
      </c>
      <c r="Z6" s="98" t="n">
        <f aca="false">Z7*1.65</f>
        <v>4702.5</v>
      </c>
      <c r="AA6" s="98" t="n">
        <f aca="false">AA7*1.65</f>
        <v>4702.5</v>
      </c>
      <c r="AB6" s="98" t="n">
        <f aca="false">AB7*1.65</f>
        <v>4702.5</v>
      </c>
      <c r="AC6" s="98" t="n">
        <f aca="false">AC7*1.7</f>
        <v>4845</v>
      </c>
      <c r="AD6" s="98" t="n">
        <f aca="false">AD7*1.7</f>
        <v>4845</v>
      </c>
      <c r="AE6" s="98" t="n">
        <f aca="false">AE7*1.7</f>
        <v>4845</v>
      </c>
      <c r="AF6" s="98" t="n">
        <f aca="false">AF7*1.7</f>
        <v>4845</v>
      </c>
      <c r="AG6" s="99" t="n">
        <f aca="false">AG7*1.7</f>
        <v>4845</v>
      </c>
      <c r="AH6" s="96" t="n">
        <f aca="false">AH9/AH5</f>
        <v>4800.76999432785</v>
      </c>
      <c r="AI6" s="0"/>
      <c r="AJ6" s="98" t="n">
        <f aca="false">AJ7*1.7</f>
        <v>4845</v>
      </c>
      <c r="AK6" s="98" t="n">
        <f aca="false">AK7*1.7</f>
        <v>4845</v>
      </c>
      <c r="AL6" s="98" t="n">
        <f aca="false">AL7*1.7</f>
        <v>4845</v>
      </c>
      <c r="AM6" s="98" t="n">
        <f aca="false">AM7*1.7</f>
        <v>4845</v>
      </c>
      <c r="AN6" s="98" t="n">
        <f aca="false">AN7*1.7</f>
        <v>4845</v>
      </c>
      <c r="AO6" s="98" t="n">
        <f aca="false">AO7*1.7</f>
        <v>4845</v>
      </c>
      <c r="AP6" s="98" t="n">
        <f aca="false">AP7*1.7</f>
        <v>4845</v>
      </c>
      <c r="AQ6" s="98" t="n">
        <f aca="false">AQ7*1.7</f>
        <v>4845</v>
      </c>
      <c r="AR6" s="98" t="n">
        <f aca="false">AR7*1.7</f>
        <v>4845</v>
      </c>
      <c r="AS6" s="98" t="n">
        <f aca="false">AS7*1.7</f>
        <v>4845</v>
      </c>
      <c r="AT6" s="98" t="n">
        <f aca="false">AT7*1.7</f>
        <v>4845</v>
      </c>
      <c r="AU6" s="99" t="n">
        <f aca="false">AU7*1.7</f>
        <v>4845</v>
      </c>
      <c r="AV6" s="96" t="n">
        <f aca="false">AV9/AV5</f>
        <v>4833.85876553793</v>
      </c>
      <c r="IS6" s="0"/>
      <c r="IT6" s="0"/>
      <c r="IU6" s="0"/>
      <c r="IV6" s="0"/>
      <c r="IW6" s="0"/>
    </row>
    <row r="7" customFormat="false" ht="15.8" hidden="false" customHeight="false" outlineLevel="0" collapsed="false">
      <c r="A7" s="62"/>
      <c r="B7" s="62" t="s">
        <v>95</v>
      </c>
      <c r="C7" s="62"/>
      <c r="D7" s="57"/>
      <c r="E7" s="100"/>
      <c r="F7" s="95"/>
      <c r="G7" s="95"/>
      <c r="H7" s="96" t="n">
        <f aca="false">900*4+250</f>
        <v>3850</v>
      </c>
      <c r="I7" s="96" t="n">
        <f aca="false">900*4+250</f>
        <v>3850</v>
      </c>
      <c r="J7" s="96" t="n">
        <f aca="false">4*900+250</f>
        <v>3850</v>
      </c>
      <c r="K7" s="96" t="n">
        <f aca="false">4*900+250</f>
        <v>3850</v>
      </c>
      <c r="L7" s="96" t="n">
        <f aca="false">4*900+250</f>
        <v>3850</v>
      </c>
      <c r="M7" s="96" t="n">
        <f aca="false">4*900+250</f>
        <v>3850</v>
      </c>
      <c r="N7" s="96" t="n">
        <f aca="false">4*850+250</f>
        <v>3650</v>
      </c>
      <c r="O7" s="96" t="n">
        <f aca="false">4*850+250</f>
        <v>3650</v>
      </c>
      <c r="P7" s="96" t="n">
        <f aca="false">4*850+250</f>
        <v>3650</v>
      </c>
      <c r="Q7" s="96" t="n">
        <f aca="false">4*850+250</f>
        <v>3650</v>
      </c>
      <c r="R7" s="98" t="n">
        <f aca="false">4*750+250</f>
        <v>3250</v>
      </c>
      <c r="S7" s="99" t="n">
        <f aca="false">4*750+250</f>
        <v>3250</v>
      </c>
      <c r="T7" s="96" t="n">
        <f aca="false">T10/T5</f>
        <v>12186.5636363636</v>
      </c>
      <c r="U7" s="0"/>
      <c r="V7" s="98" t="n">
        <f aca="false">4*675+250</f>
        <v>2950</v>
      </c>
      <c r="W7" s="98" t="n">
        <f aca="false">4*650+250</f>
        <v>2850</v>
      </c>
      <c r="X7" s="98" t="n">
        <f aca="false">4*650+250</f>
        <v>2850</v>
      </c>
      <c r="Y7" s="98" t="n">
        <f aca="false">4*650+250</f>
        <v>2850</v>
      </c>
      <c r="Z7" s="98" t="n">
        <f aca="false">4*650+250</f>
        <v>2850</v>
      </c>
      <c r="AA7" s="98" t="n">
        <f aca="false">4*650+250</f>
        <v>2850</v>
      </c>
      <c r="AB7" s="98" t="n">
        <f aca="false">4*650+250</f>
        <v>2850</v>
      </c>
      <c r="AC7" s="98" t="n">
        <f aca="false">4*650+250</f>
        <v>2850</v>
      </c>
      <c r="AD7" s="98" t="n">
        <f aca="false">4*650+250</f>
        <v>2850</v>
      </c>
      <c r="AE7" s="98" t="n">
        <f aca="false">4*650+250</f>
        <v>2850</v>
      </c>
      <c r="AF7" s="98" t="n">
        <f aca="false">4*650+250</f>
        <v>2850</v>
      </c>
      <c r="AG7" s="99" t="n">
        <f aca="false">4*650+250</f>
        <v>2850</v>
      </c>
      <c r="AH7" s="96" t="n">
        <f aca="false">AH10/AH5</f>
        <v>2851.13442994895</v>
      </c>
      <c r="AI7" s="0"/>
      <c r="AJ7" s="98" t="n">
        <f aca="false">4*650+250</f>
        <v>2850</v>
      </c>
      <c r="AK7" s="98" t="n">
        <f aca="false">4*650+250</f>
        <v>2850</v>
      </c>
      <c r="AL7" s="98" t="n">
        <f aca="false">4*650+250</f>
        <v>2850</v>
      </c>
      <c r="AM7" s="98" t="n">
        <f aca="false">4*650+250</f>
        <v>2850</v>
      </c>
      <c r="AN7" s="98" t="n">
        <f aca="false">4*650+250</f>
        <v>2850</v>
      </c>
      <c r="AO7" s="98" t="n">
        <f aca="false">4*650+250</f>
        <v>2850</v>
      </c>
      <c r="AP7" s="98" t="n">
        <f aca="false">4*650+250</f>
        <v>2850</v>
      </c>
      <c r="AQ7" s="98" t="n">
        <f aca="false">4*650+250</f>
        <v>2850</v>
      </c>
      <c r="AR7" s="98" t="n">
        <f aca="false">4*650+250</f>
        <v>2850</v>
      </c>
      <c r="AS7" s="98" t="n">
        <f aca="false">4*650+250</f>
        <v>2850</v>
      </c>
      <c r="AT7" s="98" t="n">
        <f aca="false">4*650+250</f>
        <v>2850</v>
      </c>
      <c r="AU7" s="99" t="n">
        <f aca="false">4*650+250</f>
        <v>2850</v>
      </c>
      <c r="AV7" s="96" t="n">
        <f aca="false">AV10/AV5</f>
        <v>2850.28575510787</v>
      </c>
      <c r="IS7" s="0"/>
      <c r="IT7" s="0"/>
      <c r="IU7" s="0"/>
      <c r="IV7" s="0"/>
      <c r="IW7" s="0"/>
    </row>
    <row r="8" customFormat="false" ht="3.75" hidden="false" customHeight="true" outlineLevel="0" collapsed="false">
      <c r="A8" s="62"/>
      <c r="B8" s="62"/>
      <c r="C8" s="62"/>
      <c r="D8" s="57"/>
      <c r="E8" s="101"/>
      <c r="F8" s="95"/>
      <c r="G8" s="95"/>
      <c r="H8" s="96"/>
      <c r="I8" s="96"/>
      <c r="J8" s="96"/>
      <c r="K8" s="96"/>
      <c r="L8" s="96"/>
      <c r="M8" s="96"/>
      <c r="N8" s="96"/>
      <c r="O8" s="96"/>
      <c r="P8" s="96"/>
      <c r="Q8" s="96"/>
      <c r="R8" s="96"/>
      <c r="S8" s="97"/>
      <c r="T8" s="96"/>
      <c r="U8" s="0"/>
      <c r="V8" s="96"/>
      <c r="W8" s="96"/>
      <c r="X8" s="96"/>
      <c r="Y8" s="96"/>
      <c r="Z8" s="96"/>
      <c r="AA8" s="96"/>
      <c r="AB8" s="96"/>
      <c r="AC8" s="96"/>
      <c r="AD8" s="96"/>
      <c r="AE8" s="96"/>
      <c r="AF8" s="96"/>
      <c r="AG8" s="97"/>
      <c r="AH8" s="96"/>
      <c r="AI8" s="0"/>
      <c r="AJ8" s="96"/>
      <c r="AK8" s="96"/>
      <c r="AL8" s="96"/>
      <c r="AM8" s="96"/>
      <c r="AN8" s="96"/>
      <c r="AO8" s="96"/>
      <c r="AP8" s="96"/>
      <c r="AQ8" s="96"/>
      <c r="AR8" s="96"/>
      <c r="AS8" s="96"/>
      <c r="AT8" s="96"/>
      <c r="AU8" s="97"/>
      <c r="AV8" s="96"/>
      <c r="IS8" s="0"/>
      <c r="IT8" s="0"/>
      <c r="IU8" s="0"/>
      <c r="IV8" s="0"/>
      <c r="IW8" s="0"/>
    </row>
    <row r="9" s="32" customFormat="true" ht="15.8" hidden="false" customHeight="false" outlineLevel="0" collapsed="false">
      <c r="B9" s="25" t="s">
        <v>96</v>
      </c>
      <c r="E9" s="102"/>
      <c r="F9" s="87"/>
      <c r="G9" s="87"/>
      <c r="H9" s="103" t="n">
        <f aca="false">H5*H6</f>
        <v>0</v>
      </c>
      <c r="I9" s="103" t="n">
        <f aca="false">I5*I6</f>
        <v>19635</v>
      </c>
      <c r="J9" s="103" t="n">
        <f aca="false">J5*J6</f>
        <v>98175</v>
      </c>
      <c r="K9" s="103" t="n">
        <f aca="false">K5*K6</f>
        <v>196350</v>
      </c>
      <c r="L9" s="103" t="n">
        <f aca="false">L5*L6</f>
        <v>261800</v>
      </c>
      <c r="M9" s="103" t="n">
        <f aca="false">M5*M6</f>
        <v>392700</v>
      </c>
      <c r="N9" s="103" t="n">
        <f aca="false">N5*N6</f>
        <v>446760</v>
      </c>
      <c r="O9" s="103" t="n">
        <f aca="false">O5*O6</f>
        <v>446760</v>
      </c>
      <c r="P9" s="103" t="n">
        <f aca="false">P5*P6</f>
        <v>536112</v>
      </c>
      <c r="Q9" s="103" t="n">
        <f aca="false">Q5*Q6</f>
        <v>643334.4</v>
      </c>
      <c r="R9" s="103" t="n">
        <f aca="false">R5*R6</f>
        <v>687398.4</v>
      </c>
      <c r="S9" s="104" t="n">
        <f aca="false">S5*S6</f>
        <v>828750</v>
      </c>
      <c r="T9" s="103" t="n">
        <f aca="false">SUM(H9:S9)</f>
        <v>4557774.8</v>
      </c>
      <c r="U9" s="0"/>
      <c r="V9" s="103" t="n">
        <f aca="false">V5*V6</f>
        <v>708000</v>
      </c>
      <c r="W9" s="103" t="n">
        <f aca="false">W5*W6</f>
        <v>1175625</v>
      </c>
      <c r="X9" s="103" t="n">
        <f aca="false">X5*X6</f>
        <v>1469531.25</v>
      </c>
      <c r="Y9" s="103" t="n">
        <f aca="false">Y5*Y6</f>
        <v>2163150</v>
      </c>
      <c r="Z9" s="103" t="n">
        <f aca="false">Z5*Z6</f>
        <v>3244725</v>
      </c>
      <c r="AA9" s="103" t="n">
        <f aca="false">AA5*AA6</f>
        <v>4843575</v>
      </c>
      <c r="AB9" s="103" t="n">
        <f aca="false">AB5*AB6</f>
        <v>5784075</v>
      </c>
      <c r="AC9" s="103" t="n">
        <f aca="false">AC5*AC6</f>
        <v>7122150</v>
      </c>
      <c r="AD9" s="103" t="n">
        <f aca="false">AD5*AD6</f>
        <v>7122150</v>
      </c>
      <c r="AE9" s="103" t="n">
        <f aca="false">AE5*AE6</f>
        <v>8527200</v>
      </c>
      <c r="AF9" s="103" t="n">
        <f aca="false">AF5*AF6</f>
        <v>10659000</v>
      </c>
      <c r="AG9" s="104" t="n">
        <f aca="false">AG5*AG6</f>
        <v>10659000</v>
      </c>
      <c r="AH9" s="103" t="n">
        <f aca="false">SUM(V9:AG9)</f>
        <v>63478181.25</v>
      </c>
      <c r="AI9" s="0"/>
      <c r="AJ9" s="103" t="n">
        <f aca="false">AJ5*AJ6</f>
        <v>10659000</v>
      </c>
      <c r="AK9" s="103" t="n">
        <f aca="false">AK5*AK6</f>
        <v>12790800</v>
      </c>
      <c r="AL9" s="103" t="n">
        <f aca="false">AL5*AL6</f>
        <v>12790800</v>
      </c>
      <c r="AM9" s="103" t="n">
        <f aca="false">AM5*AM6</f>
        <v>15310200</v>
      </c>
      <c r="AN9" s="103" t="n">
        <f aca="false">AN5*AN6</f>
        <v>17248200</v>
      </c>
      <c r="AO9" s="103" t="n">
        <f aca="false">AO5*AO6</f>
        <v>18943950</v>
      </c>
      <c r="AP9" s="103" t="n">
        <f aca="false">AP5*AP6</f>
        <v>72675000</v>
      </c>
      <c r="AQ9" s="103" t="n">
        <f aca="false">AQ5*AQ6</f>
        <v>72675000</v>
      </c>
      <c r="AR9" s="103" t="n">
        <f aca="false">AR5*AR6</f>
        <v>72675000</v>
      </c>
      <c r="AS9" s="103" t="n">
        <f aca="false">AS5*AS6</f>
        <v>72675000</v>
      </c>
      <c r="AT9" s="103" t="n">
        <f aca="false">AT5*AT6</f>
        <v>72675000</v>
      </c>
      <c r="AU9" s="104" t="n">
        <f aca="false">AU5*AU6</f>
        <v>72675000</v>
      </c>
      <c r="AV9" s="103" t="n">
        <f aca="false">SUM(AE9:AP9)</f>
        <v>253741331.25</v>
      </c>
      <c r="AMF9" s="0"/>
      <c r="AMG9" s="0"/>
      <c r="AMH9" s="0"/>
      <c r="AMI9" s="0"/>
      <c r="AMJ9" s="0"/>
    </row>
    <row r="10" s="32" customFormat="true" ht="15.8" hidden="false" customHeight="false" outlineLevel="0" collapsed="false">
      <c r="B10" s="25" t="s">
        <v>97</v>
      </c>
      <c r="E10" s="102"/>
      <c r="F10" s="87"/>
      <c r="G10" s="87"/>
      <c r="H10" s="103" t="n">
        <f aca="false">H5*H7</f>
        <v>0</v>
      </c>
      <c r="I10" s="103" t="n">
        <f aca="false">I5*I7</f>
        <v>11550</v>
      </c>
      <c r="J10" s="103" t="n">
        <f aca="false">J5*J7</f>
        <v>57750</v>
      </c>
      <c r="K10" s="103" t="n">
        <f aca="false">K5*K7</f>
        <v>115500</v>
      </c>
      <c r="L10" s="103" t="n">
        <f aca="false">L5*L7</f>
        <v>154000</v>
      </c>
      <c r="M10" s="103" t="n">
        <f aca="false">M5*M7</f>
        <v>231000</v>
      </c>
      <c r="N10" s="103" t="n">
        <f aca="false">N5*N7</f>
        <v>262800</v>
      </c>
      <c r="O10" s="103" t="n">
        <f aca="false">O5*O7</f>
        <v>262800</v>
      </c>
      <c r="P10" s="103" t="n">
        <f aca="false">P5*P7</f>
        <v>315360</v>
      </c>
      <c r="Q10" s="103" t="n">
        <f aca="false">Q5*Q7</f>
        <v>378432</v>
      </c>
      <c r="R10" s="103" t="n">
        <f aca="false">R5*R7</f>
        <v>404352</v>
      </c>
      <c r="S10" s="104" t="n">
        <f aca="false">S5*S7</f>
        <v>487500</v>
      </c>
      <c r="T10" s="103" t="n">
        <f aca="false">SUM(H10:S10)</f>
        <v>2681044</v>
      </c>
      <c r="U10" s="0"/>
      <c r="V10" s="103" t="n">
        <f aca="false">V5*V7</f>
        <v>442500</v>
      </c>
      <c r="W10" s="103" t="n">
        <f aca="false">W5*W7</f>
        <v>712500</v>
      </c>
      <c r="X10" s="103" t="n">
        <f aca="false">X5*X7</f>
        <v>890625</v>
      </c>
      <c r="Y10" s="103" t="n">
        <f aca="false">Y5*Y7</f>
        <v>1311000</v>
      </c>
      <c r="Z10" s="103" t="n">
        <f aca="false">Z5*Z7</f>
        <v>1966500</v>
      </c>
      <c r="AA10" s="103" t="n">
        <f aca="false">AA5*AA7</f>
        <v>2935500</v>
      </c>
      <c r="AB10" s="103" t="n">
        <f aca="false">AB5*AB7</f>
        <v>3505500</v>
      </c>
      <c r="AC10" s="103" t="n">
        <f aca="false">AC5*AC7</f>
        <v>4189500</v>
      </c>
      <c r="AD10" s="103" t="n">
        <f aca="false">AD5*AD7</f>
        <v>4189500</v>
      </c>
      <c r="AE10" s="103" t="n">
        <f aca="false">AE5*AE7</f>
        <v>5016000</v>
      </c>
      <c r="AF10" s="103" t="n">
        <f aca="false">AF5*AF7</f>
        <v>6270000</v>
      </c>
      <c r="AG10" s="104" t="n">
        <f aca="false">AG5*AG7</f>
        <v>6270000</v>
      </c>
      <c r="AH10" s="103" t="n">
        <f aca="false">SUM(V10:AG10)</f>
        <v>37699125</v>
      </c>
      <c r="AI10" s="0"/>
      <c r="AJ10" s="103" t="n">
        <f aca="false">AJ5*AJ7</f>
        <v>6270000</v>
      </c>
      <c r="AK10" s="103" t="n">
        <f aca="false">AK5*AK7</f>
        <v>7524000</v>
      </c>
      <c r="AL10" s="103" t="n">
        <f aca="false">AL5*AL7</f>
        <v>7524000</v>
      </c>
      <c r="AM10" s="103" t="n">
        <f aca="false">AM5*AM7</f>
        <v>9006000</v>
      </c>
      <c r="AN10" s="103" t="n">
        <f aca="false">AN5*AN7</f>
        <v>10146000</v>
      </c>
      <c r="AO10" s="103" t="n">
        <f aca="false">AO5*AO7</f>
        <v>11143500</v>
      </c>
      <c r="AP10" s="103" t="n">
        <f aca="false">AP5*AP7</f>
        <v>42750000</v>
      </c>
      <c r="AQ10" s="103" t="n">
        <f aca="false">AQ5*AQ7</f>
        <v>42750000</v>
      </c>
      <c r="AR10" s="103" t="n">
        <f aca="false">AR5*AR7</f>
        <v>42750000</v>
      </c>
      <c r="AS10" s="103" t="n">
        <f aca="false">AS5*AS7</f>
        <v>42750000</v>
      </c>
      <c r="AT10" s="103" t="n">
        <f aca="false">AT5*AT7</f>
        <v>42750000</v>
      </c>
      <c r="AU10" s="104" t="n">
        <f aca="false">AU5*AU7</f>
        <v>42750000</v>
      </c>
      <c r="AV10" s="103" t="n">
        <f aca="false">SUM(AE10:AP10)</f>
        <v>149618625</v>
      </c>
      <c r="AMF10" s="0"/>
      <c r="AMG10" s="0"/>
      <c r="AMH10" s="0"/>
      <c r="AMI10" s="0"/>
      <c r="AMJ10" s="0"/>
    </row>
    <row r="11" s="32" customFormat="true" ht="15.8" hidden="false" customHeight="false" outlineLevel="0" collapsed="false">
      <c r="B11" s="25" t="s">
        <v>98</v>
      </c>
      <c r="E11" s="102"/>
      <c r="F11" s="87"/>
      <c r="G11" s="87"/>
      <c r="H11" s="103" t="n">
        <f aca="false">H9-H10</f>
        <v>0</v>
      </c>
      <c r="I11" s="103" t="n">
        <f aca="false">I9-I10</f>
        <v>8085</v>
      </c>
      <c r="J11" s="103" t="n">
        <f aca="false">J9-J10</f>
        <v>40425</v>
      </c>
      <c r="K11" s="103" t="n">
        <f aca="false">K9-K10</f>
        <v>80850</v>
      </c>
      <c r="L11" s="103" t="n">
        <f aca="false">L9-L10</f>
        <v>107800</v>
      </c>
      <c r="M11" s="103" t="n">
        <f aca="false">M9-M10</f>
        <v>161700</v>
      </c>
      <c r="N11" s="103" t="n">
        <f aca="false">N9-N10</f>
        <v>183960</v>
      </c>
      <c r="O11" s="103" t="n">
        <f aca="false">O9-O10</f>
        <v>183960</v>
      </c>
      <c r="P11" s="103" t="n">
        <f aca="false">P9-P10</f>
        <v>220752</v>
      </c>
      <c r="Q11" s="103" t="n">
        <f aca="false">Q9-Q10</f>
        <v>264902.4</v>
      </c>
      <c r="R11" s="103" t="n">
        <f aca="false">R9-R10</f>
        <v>283046.4</v>
      </c>
      <c r="S11" s="104" t="n">
        <f aca="false">S9-S10</f>
        <v>341250</v>
      </c>
      <c r="T11" s="103" t="n">
        <f aca="false">SUM(H11:S11)</f>
        <v>1876730.8</v>
      </c>
      <c r="U11" s="0"/>
      <c r="V11" s="103" t="n">
        <f aca="false">V9-V10</f>
        <v>265500</v>
      </c>
      <c r="W11" s="103" t="n">
        <f aca="false">W9-W10</f>
        <v>463125</v>
      </c>
      <c r="X11" s="103" t="n">
        <f aca="false">X9-X10</f>
        <v>578906.25</v>
      </c>
      <c r="Y11" s="103" t="n">
        <f aca="false">Y9-Y10</f>
        <v>852150</v>
      </c>
      <c r="Z11" s="103" t="n">
        <f aca="false">Z9-Z10</f>
        <v>1278225</v>
      </c>
      <c r="AA11" s="103" t="n">
        <f aca="false">AA9-AA10</f>
        <v>1908075</v>
      </c>
      <c r="AB11" s="103" t="n">
        <f aca="false">AB9-AB10</f>
        <v>2278575</v>
      </c>
      <c r="AC11" s="103" t="n">
        <f aca="false">AC9-AC10</f>
        <v>2932650</v>
      </c>
      <c r="AD11" s="103" t="n">
        <f aca="false">AD9-AD10</f>
        <v>2932650</v>
      </c>
      <c r="AE11" s="103" t="n">
        <f aca="false">AE9-AE10</f>
        <v>3511200</v>
      </c>
      <c r="AF11" s="103" t="n">
        <f aca="false">AF9-AF10</f>
        <v>4389000</v>
      </c>
      <c r="AG11" s="104" t="n">
        <f aca="false">AG9-AG10</f>
        <v>4389000</v>
      </c>
      <c r="AH11" s="103" t="n">
        <f aca="false">SUM(Q11:AG11)</f>
        <v>28544985.85</v>
      </c>
      <c r="AI11" s="0"/>
      <c r="AJ11" s="103" t="n">
        <f aca="false">AJ9-AJ10</f>
        <v>4389000</v>
      </c>
      <c r="AK11" s="103" t="n">
        <f aca="false">AK9-AK10</f>
        <v>5266800</v>
      </c>
      <c r="AL11" s="103" t="n">
        <f aca="false">AL9-AL10</f>
        <v>5266800</v>
      </c>
      <c r="AM11" s="103" t="n">
        <f aca="false">AM9-AM10</f>
        <v>6304200</v>
      </c>
      <c r="AN11" s="103" t="n">
        <f aca="false">AN9-AN10</f>
        <v>7102200</v>
      </c>
      <c r="AO11" s="103" t="n">
        <f aca="false">AO9-AO10</f>
        <v>7800450</v>
      </c>
      <c r="AP11" s="103" t="n">
        <f aca="false">AP9-AP10</f>
        <v>29925000</v>
      </c>
      <c r="AQ11" s="103" t="n">
        <f aca="false">AQ9-AQ10</f>
        <v>29925000</v>
      </c>
      <c r="AR11" s="103" t="n">
        <f aca="false">AR9-AR10</f>
        <v>29925000</v>
      </c>
      <c r="AS11" s="103" t="n">
        <f aca="false">AS9-AS10</f>
        <v>29925000</v>
      </c>
      <c r="AT11" s="103" t="n">
        <f aca="false">AT9-AT10</f>
        <v>29925000</v>
      </c>
      <c r="AU11" s="104" t="n">
        <f aca="false">AU9-AU10</f>
        <v>29925000</v>
      </c>
      <c r="AV11" s="103" t="n">
        <f aca="false">SUM(AE11:AP11)</f>
        <v>106888635.85</v>
      </c>
      <c r="AMF11" s="0"/>
      <c r="AMG11" s="0"/>
      <c r="AMH11" s="0"/>
      <c r="AMI11" s="0"/>
      <c r="AMJ11" s="0"/>
    </row>
    <row r="12" s="105" customFormat="true" ht="15.8" hidden="false" customHeight="false" outlineLevel="0" collapsed="false">
      <c r="B12" s="106" t="s">
        <v>99</v>
      </c>
      <c r="E12" s="107"/>
      <c r="F12" s="107"/>
      <c r="G12" s="107"/>
      <c r="H12" s="108" t="n">
        <f aca="false">IF(H9=0,0,(1-H10/H9))</f>
        <v>0</v>
      </c>
      <c r="I12" s="108" t="n">
        <f aca="false">IF(I9=0,0,(1-I10/I9))</f>
        <v>0.411764705882353</v>
      </c>
      <c r="J12" s="108" t="n">
        <f aca="false">IF(J9=0,0,(1-J10/J9))</f>
        <v>0.411764705882353</v>
      </c>
      <c r="K12" s="108" t="n">
        <f aca="false">IF(K9=0,0,(1-K10/K9))</f>
        <v>0.411764705882353</v>
      </c>
      <c r="L12" s="108" t="n">
        <f aca="false">IF(L9=0,0,(1-L10/L9))</f>
        <v>0.411764705882353</v>
      </c>
      <c r="M12" s="108" t="n">
        <f aca="false">IF(M9=0,0,(1-M10/M9))</f>
        <v>0.411764705882353</v>
      </c>
      <c r="N12" s="108" t="n">
        <f aca="false">IF(N9=0,0,(1-N10/N9))</f>
        <v>0.411764705882353</v>
      </c>
      <c r="O12" s="108" t="n">
        <f aca="false">IF(O9=0,0,(1-O10/O9))</f>
        <v>0.411764705882353</v>
      </c>
      <c r="P12" s="108" t="n">
        <f aca="false">IF(P9=0,0,(1-P10/P9))</f>
        <v>0.411764705882353</v>
      </c>
      <c r="Q12" s="108" t="n">
        <f aca="false">IF(Q9=0,0,(1-Q10/Q9))</f>
        <v>0.411764705882353</v>
      </c>
      <c r="R12" s="108" t="n">
        <f aca="false">IF(R9=0,0,(1-R10/R9))</f>
        <v>0.411764705882353</v>
      </c>
      <c r="S12" s="109" t="n">
        <f aca="false">IF(S9=0,0,(1-S10/S9))</f>
        <v>0.411764705882353</v>
      </c>
      <c r="T12" s="108" t="n">
        <f aca="false">IF(T9=0,0,(1-T10/T9))</f>
        <v>0.411764705882353</v>
      </c>
      <c r="U12" s="0"/>
      <c r="V12" s="108" t="n">
        <f aca="false">IF(V9=0,0,(1-V10/V9))</f>
        <v>0.375</v>
      </c>
      <c r="W12" s="108" t="n">
        <f aca="false">IF(W9=0,0,(1-W10/W9))</f>
        <v>0.393939393939394</v>
      </c>
      <c r="X12" s="108" t="n">
        <f aca="false">IF(X9=0,0,(1-X10/X9))</f>
        <v>0.393939393939394</v>
      </c>
      <c r="Y12" s="108" t="n">
        <f aca="false">IF(Y9=0,0,(1-Y10/Y9))</f>
        <v>0.393939393939394</v>
      </c>
      <c r="Z12" s="108" t="n">
        <f aca="false">IF(Z9=0,0,(1-Z10/Z9))</f>
        <v>0.393939393939394</v>
      </c>
      <c r="AA12" s="108" t="n">
        <f aca="false">IF(AA9=0,0,(1-AA10/AA9))</f>
        <v>0.393939393939394</v>
      </c>
      <c r="AB12" s="108" t="n">
        <f aca="false">IF(AB9=0,0,(1-AB10/AB9))</f>
        <v>0.393939393939394</v>
      </c>
      <c r="AC12" s="108" t="n">
        <f aca="false">IF(AC9=0,0,(1-AC10/AC9))</f>
        <v>0.411764705882353</v>
      </c>
      <c r="AD12" s="108" t="n">
        <f aca="false">IF(AD9=0,0,(1-AD10/AD9))</f>
        <v>0.411764705882353</v>
      </c>
      <c r="AE12" s="108" t="n">
        <f aca="false">IF(AE9=0,0,(1-AE10/AE9))</f>
        <v>0.411764705882353</v>
      </c>
      <c r="AF12" s="108" t="n">
        <f aca="false">IF(AF9=0,0,(1-AF10/AF9))</f>
        <v>0.411764705882353</v>
      </c>
      <c r="AG12" s="109" t="n">
        <f aca="false">IF(AG9=0,0,(1-AG10/AG9))</f>
        <v>0.411764705882353</v>
      </c>
      <c r="AH12" s="108" t="n">
        <f aca="false">IF(AH9=0,0,(1-AH10/AH9))</f>
        <v>0.406108929751354</v>
      </c>
      <c r="AI12" s="0"/>
      <c r="AJ12" s="108" t="n">
        <f aca="false">IF(AJ9=0,0,(1-AJ10/AJ9))</f>
        <v>0.411764705882353</v>
      </c>
      <c r="AK12" s="108" t="n">
        <f aca="false">IF(AK9=0,0,(1-AK10/AK9))</f>
        <v>0.411764705882353</v>
      </c>
      <c r="AL12" s="108" t="n">
        <f aca="false">IF(AL9=0,0,(1-AL10/AL9))</f>
        <v>0.411764705882353</v>
      </c>
      <c r="AM12" s="108" t="n">
        <f aca="false">IF(AM9=0,0,(1-AM10/AM9))</f>
        <v>0.411764705882353</v>
      </c>
      <c r="AN12" s="108" t="n">
        <f aca="false">IF(AN9=0,0,(1-AN10/AN9))</f>
        <v>0.411764705882353</v>
      </c>
      <c r="AO12" s="108" t="n">
        <f aca="false">IF(AO9=0,0,(1-AO10/AO9))</f>
        <v>0.411764705882353</v>
      </c>
      <c r="AP12" s="108" t="n">
        <f aca="false">IF(AP9=0,0,(1-AP10/AP9))</f>
        <v>0.411764705882353</v>
      </c>
      <c r="AQ12" s="108" t="n">
        <f aca="false">IF(AQ9=0,0,(1-AQ10/AQ9))</f>
        <v>0.411764705882353</v>
      </c>
      <c r="AR12" s="108" t="n">
        <f aca="false">IF(AR9=0,0,(1-AR10/AR9))</f>
        <v>0.411764705882353</v>
      </c>
      <c r="AS12" s="108" t="n">
        <f aca="false">IF(AS9=0,0,(1-AS10/AS9))</f>
        <v>0.411764705882353</v>
      </c>
      <c r="AT12" s="108" t="n">
        <f aca="false">IF(AT9=0,0,(1-AT10/AT9))</f>
        <v>0.411764705882353</v>
      </c>
      <c r="AU12" s="109" t="n">
        <f aca="false">IF(AU9=0,0,(1-AU10/AU9))</f>
        <v>0.411764705882353</v>
      </c>
      <c r="AV12" s="108" t="n">
        <f aca="false">IF(AV9=0,0,(1-AV10/AV9))</f>
        <v>0.410349806777882</v>
      </c>
      <c r="AMF12" s="0"/>
      <c r="AMG12" s="0"/>
      <c r="AMH12" s="0"/>
      <c r="AMI12" s="0"/>
      <c r="AMJ12" s="0"/>
    </row>
    <row r="13" s="110" customFormat="true" ht="15.8" hidden="false" customHeight="false" outlineLevel="0" collapsed="false">
      <c r="B13" s="111" t="s">
        <v>100</v>
      </c>
      <c r="E13" s="112"/>
      <c r="F13" s="112"/>
      <c r="G13" s="112"/>
      <c r="H13" s="113" t="n">
        <f aca="false">H5*0.25*300</f>
        <v>0</v>
      </c>
      <c r="I13" s="113" t="n">
        <f aca="false">I5*0.25*300</f>
        <v>225</v>
      </c>
      <c r="J13" s="113" t="n">
        <f aca="false">J5*0.25*300</f>
        <v>1125</v>
      </c>
      <c r="K13" s="113" t="n">
        <f aca="false">K5*0.25*300</f>
        <v>2250</v>
      </c>
      <c r="L13" s="113" t="n">
        <f aca="false">L5*0.25*300</f>
        <v>3000</v>
      </c>
      <c r="M13" s="113" t="n">
        <f aca="false">M5*0.25*300</f>
        <v>4500</v>
      </c>
      <c r="N13" s="113" t="n">
        <f aca="false">N5*0.25*300</f>
        <v>5400</v>
      </c>
      <c r="O13" s="113" t="n">
        <f aca="false">O5*0.25*300</f>
        <v>5400</v>
      </c>
      <c r="P13" s="113" t="n">
        <f aca="false">P5*0.25*300</f>
        <v>6480</v>
      </c>
      <c r="Q13" s="113" t="n">
        <f aca="false">Q5*0.25*300</f>
        <v>7776</v>
      </c>
      <c r="R13" s="113" t="n">
        <f aca="false">R5*0.25*300</f>
        <v>9331.2</v>
      </c>
      <c r="S13" s="114" t="n">
        <f aca="false">S5*0.25*300</f>
        <v>11250</v>
      </c>
      <c r="T13" s="113" t="n">
        <f aca="false">SUM(H13:S13)</f>
        <v>56737.2</v>
      </c>
      <c r="U13" s="0"/>
      <c r="V13" s="113" t="n">
        <f aca="false">V5*0.25*300</f>
        <v>11250</v>
      </c>
      <c r="W13" s="113" t="n">
        <f aca="false">W5*0.25*300</f>
        <v>18750</v>
      </c>
      <c r="X13" s="113" t="n">
        <f aca="false">X5*0.25*300</f>
        <v>23437.5</v>
      </c>
      <c r="Y13" s="113" t="n">
        <f aca="false">Y5*0.25*300</f>
        <v>34500</v>
      </c>
      <c r="Z13" s="113" t="n">
        <f aca="false">Z5*0.25*300</f>
        <v>51750</v>
      </c>
      <c r="AA13" s="113" t="n">
        <f aca="false">AA5*0.25*300</f>
        <v>77250</v>
      </c>
      <c r="AB13" s="113" t="n">
        <f aca="false">AB5*0.25*300</f>
        <v>92250</v>
      </c>
      <c r="AC13" s="113" t="n">
        <f aca="false">AC5*0.25*300</f>
        <v>110250</v>
      </c>
      <c r="AD13" s="113" t="n">
        <f aca="false">AD5*0.25*300</f>
        <v>110250</v>
      </c>
      <c r="AE13" s="113" t="n">
        <f aca="false">AE5*0.25*300</f>
        <v>132000</v>
      </c>
      <c r="AF13" s="113" t="n">
        <f aca="false">AF5*0.25*300</f>
        <v>165000</v>
      </c>
      <c r="AG13" s="114" t="n">
        <f aca="false">AG5*0.25*300</f>
        <v>165000</v>
      </c>
      <c r="AH13" s="113" t="n">
        <f aca="false">SUM(V13:AG13)</f>
        <v>991687.5</v>
      </c>
      <c r="AI13" s="0"/>
      <c r="AJ13" s="113" t="n">
        <f aca="false">AJ5*0.25*300</f>
        <v>165000</v>
      </c>
      <c r="AK13" s="113" t="n">
        <f aca="false">AK5*0.25*300</f>
        <v>198000</v>
      </c>
      <c r="AL13" s="113" t="n">
        <f aca="false">AL5*0.25*300</f>
        <v>198000</v>
      </c>
      <c r="AM13" s="113" t="n">
        <f aca="false">AM5*0.25*300</f>
        <v>237000</v>
      </c>
      <c r="AN13" s="113" t="n">
        <f aca="false">AN5*0.25*300</f>
        <v>267000</v>
      </c>
      <c r="AO13" s="113" t="n">
        <f aca="false">AO5*0.25*300</f>
        <v>293250</v>
      </c>
      <c r="AP13" s="113" t="n">
        <f aca="false">AP5*0.25*300</f>
        <v>1125000</v>
      </c>
      <c r="AQ13" s="113" t="n">
        <f aca="false">AQ5*0.25*300</f>
        <v>1125000</v>
      </c>
      <c r="AR13" s="113" t="n">
        <f aca="false">AR5*0.25*300</f>
        <v>1125000</v>
      </c>
      <c r="AS13" s="113" t="n">
        <f aca="false">AS5*0.25*300</f>
        <v>1125000</v>
      </c>
      <c r="AT13" s="113" t="n">
        <f aca="false">AT5*0.25*300</f>
        <v>1125000</v>
      </c>
      <c r="AU13" s="114" t="n">
        <f aca="false">AU5*0.25*300</f>
        <v>1125000</v>
      </c>
      <c r="AV13" s="113" t="n">
        <f aca="false">SUM(AE13:AP13)</f>
        <v>3936937.5</v>
      </c>
      <c r="AMF13" s="0"/>
      <c r="AMG13" s="0"/>
      <c r="AMH13" s="0"/>
      <c r="AMI13" s="0"/>
      <c r="AMJ13" s="0"/>
    </row>
    <row r="14" s="110" customFormat="true" ht="15.8" hidden="false" customHeight="false" outlineLevel="0" collapsed="false">
      <c r="B14" s="111" t="s">
        <v>101</v>
      </c>
      <c r="E14" s="112"/>
      <c r="F14" s="112"/>
      <c r="G14" s="112"/>
      <c r="H14" s="113" t="n">
        <f aca="false">H13*0.33</f>
        <v>0</v>
      </c>
      <c r="I14" s="113" t="n">
        <f aca="false">I13*0.8</f>
        <v>180</v>
      </c>
      <c r="J14" s="113" t="n">
        <f aca="false">J13*0.8</f>
        <v>900</v>
      </c>
      <c r="K14" s="113" t="n">
        <f aca="false">K13*0.8</f>
        <v>1800</v>
      </c>
      <c r="L14" s="113" t="n">
        <f aca="false">L13*0.8</f>
        <v>2400</v>
      </c>
      <c r="M14" s="113" t="n">
        <f aca="false">M13*0.7</f>
        <v>3150</v>
      </c>
      <c r="N14" s="113" t="n">
        <f aca="false">N13*0.7</f>
        <v>3780</v>
      </c>
      <c r="O14" s="113" t="n">
        <f aca="false">O13*0.7</f>
        <v>3780</v>
      </c>
      <c r="P14" s="113" t="n">
        <f aca="false">P13*0.7</f>
        <v>4536</v>
      </c>
      <c r="Q14" s="113" t="n">
        <f aca="false">Q13*0.6</f>
        <v>4665.6</v>
      </c>
      <c r="R14" s="113" t="n">
        <f aca="false">R13*0.6</f>
        <v>5598.72</v>
      </c>
      <c r="S14" s="114" t="n">
        <f aca="false">S13*0.6</f>
        <v>6750</v>
      </c>
      <c r="T14" s="113" t="n">
        <f aca="false">SUM(H14:S14)</f>
        <v>37540.32</v>
      </c>
      <c r="U14" s="0"/>
      <c r="V14" s="113" t="n">
        <f aca="false">V13*0.5</f>
        <v>5625</v>
      </c>
      <c r="W14" s="113" t="n">
        <f aca="false">W13*0.5</f>
        <v>9375</v>
      </c>
      <c r="X14" s="113" t="n">
        <f aca="false">X13*0.5</f>
        <v>11718.75</v>
      </c>
      <c r="Y14" s="113" t="n">
        <f aca="false">Y13*0.5</f>
        <v>17250</v>
      </c>
      <c r="Z14" s="113" t="n">
        <f aca="false">Z13*0.5</f>
        <v>25875</v>
      </c>
      <c r="AA14" s="113" t="n">
        <f aca="false">AA13*0.5</f>
        <v>38625</v>
      </c>
      <c r="AB14" s="113" t="n">
        <f aca="false">AB13*0.5</f>
        <v>46125</v>
      </c>
      <c r="AC14" s="113" t="n">
        <f aca="false">AC13*0.5</f>
        <v>55125</v>
      </c>
      <c r="AD14" s="113" t="n">
        <f aca="false">AD13*0.5</f>
        <v>55125</v>
      </c>
      <c r="AE14" s="113" t="n">
        <f aca="false">AE13*0.5</f>
        <v>66000</v>
      </c>
      <c r="AF14" s="113" t="n">
        <f aca="false">AF13*0.5</f>
        <v>82500</v>
      </c>
      <c r="AG14" s="114" t="n">
        <f aca="false">AG13*0.33</f>
        <v>54450</v>
      </c>
      <c r="AH14" s="113" t="n">
        <f aca="false">SUM(V14:AG14)</f>
        <v>467793.75</v>
      </c>
      <c r="AI14" s="0"/>
      <c r="AJ14" s="113" t="n">
        <f aca="false">AJ13*0.33</f>
        <v>54450</v>
      </c>
      <c r="AK14" s="113" t="n">
        <f aca="false">AK13*0.33</f>
        <v>65340</v>
      </c>
      <c r="AL14" s="113" t="n">
        <f aca="false">AL13*0.33</f>
        <v>65340</v>
      </c>
      <c r="AM14" s="113" t="n">
        <f aca="false">AM13*0.33</f>
        <v>78210</v>
      </c>
      <c r="AN14" s="113" t="n">
        <f aca="false">AN13*0.33</f>
        <v>88110</v>
      </c>
      <c r="AO14" s="113" t="n">
        <f aca="false">AO13*0.33</f>
        <v>96772.5</v>
      </c>
      <c r="AP14" s="113" t="n">
        <f aca="false">AP13*0.33</f>
        <v>371250</v>
      </c>
      <c r="AQ14" s="113" t="n">
        <f aca="false">AQ13*0.33</f>
        <v>371250</v>
      </c>
      <c r="AR14" s="113" t="n">
        <f aca="false">AR13*0.33</f>
        <v>371250</v>
      </c>
      <c r="AS14" s="113" t="n">
        <f aca="false">AS13*0.33</f>
        <v>371250</v>
      </c>
      <c r="AT14" s="113" t="n">
        <f aca="false">AT13*0.33</f>
        <v>371250</v>
      </c>
      <c r="AU14" s="114" t="n">
        <f aca="false">AU13*0.33</f>
        <v>371250</v>
      </c>
      <c r="AV14" s="113" t="n">
        <f aca="false">SUM(AE14:AP14)</f>
        <v>1490216.25</v>
      </c>
      <c r="AMF14" s="0"/>
      <c r="AMG14" s="0"/>
      <c r="AMH14" s="0"/>
      <c r="AMI14" s="0"/>
      <c r="AMJ14" s="0"/>
    </row>
    <row r="15" customFormat="false" ht="15.8" hidden="false" customHeight="false" outlineLevel="0" collapsed="false">
      <c r="A15" s="57"/>
      <c r="B15" s="62"/>
      <c r="C15" s="62"/>
      <c r="D15" s="57"/>
      <c r="E15" s="115"/>
      <c r="F15" s="88"/>
      <c r="G15" s="88"/>
      <c r="H15" s="57"/>
      <c r="I15" s="57"/>
      <c r="J15" s="57"/>
      <c r="K15" s="57"/>
      <c r="L15" s="57"/>
      <c r="M15" s="57"/>
      <c r="N15" s="57"/>
      <c r="O15" s="57"/>
      <c r="P15" s="57"/>
      <c r="Q15" s="57"/>
      <c r="R15" s="57"/>
      <c r="S15" s="89"/>
      <c r="T15" s="57"/>
      <c r="U15" s="57"/>
      <c r="V15" s="57"/>
      <c r="W15" s="57"/>
      <c r="X15" s="57"/>
      <c r="Y15" s="57"/>
      <c r="Z15" s="57"/>
      <c r="AA15" s="57"/>
      <c r="AB15" s="57"/>
      <c r="AC15" s="57"/>
      <c r="AD15" s="57"/>
      <c r="AE15" s="57"/>
      <c r="AF15" s="57"/>
      <c r="AG15" s="89"/>
      <c r="AH15" s="57"/>
      <c r="AI15" s="57"/>
      <c r="AJ15" s="57"/>
      <c r="AK15" s="57"/>
      <c r="AL15" s="57"/>
      <c r="AM15" s="57"/>
      <c r="AN15" s="57"/>
      <c r="AO15" s="57"/>
      <c r="AP15" s="57"/>
      <c r="AQ15" s="57"/>
      <c r="AR15" s="57"/>
      <c r="AS15" s="57"/>
      <c r="AT15" s="57"/>
      <c r="AU15" s="89"/>
      <c r="AV15" s="57"/>
    </row>
    <row r="16" customFormat="false" ht="15.8" hidden="false" customHeight="false" outlineLevel="0" collapsed="false">
      <c r="A16" s="91" t="s">
        <v>102</v>
      </c>
      <c r="B16" s="91"/>
      <c r="C16" s="91"/>
      <c r="D16" s="91"/>
      <c r="E16" s="88"/>
      <c r="F16" s="88"/>
      <c r="G16" s="88"/>
      <c r="H16" s="57"/>
      <c r="I16" s="57"/>
      <c r="J16" s="57"/>
      <c r="K16" s="57"/>
      <c r="L16" s="57"/>
      <c r="M16" s="57"/>
      <c r="N16" s="57"/>
      <c r="O16" s="57"/>
      <c r="P16" s="57"/>
      <c r="Q16" s="57"/>
      <c r="R16" s="57"/>
      <c r="S16" s="89"/>
      <c r="T16" s="57"/>
      <c r="U16" s="57"/>
      <c r="V16" s="57"/>
      <c r="W16" s="57"/>
      <c r="X16" s="57"/>
      <c r="Y16" s="57"/>
      <c r="Z16" s="57"/>
      <c r="AA16" s="57"/>
      <c r="AB16" s="57"/>
      <c r="AC16" s="57"/>
      <c r="AD16" s="57"/>
      <c r="AE16" s="57"/>
      <c r="AF16" s="57"/>
      <c r="AG16" s="89"/>
      <c r="AH16" s="57"/>
      <c r="AI16" s="57"/>
      <c r="AJ16" s="57"/>
      <c r="AK16" s="57"/>
      <c r="AL16" s="57"/>
      <c r="AM16" s="57"/>
      <c r="AN16" s="57"/>
      <c r="AO16" s="57"/>
      <c r="AP16" s="57"/>
      <c r="AQ16" s="57"/>
      <c r="AR16" s="57"/>
      <c r="AS16" s="57"/>
      <c r="AT16" s="57"/>
      <c r="AU16" s="89"/>
      <c r="AV16" s="57"/>
    </row>
    <row r="17" customFormat="false" ht="15.8" hidden="false" customHeight="false" outlineLevel="0" collapsed="false">
      <c r="A17" s="91"/>
      <c r="B17" s="91" t="s">
        <v>93</v>
      </c>
      <c r="C17" s="91"/>
      <c r="D17" s="91"/>
      <c r="E17" s="88"/>
      <c r="F17" s="88"/>
      <c r="G17" s="88"/>
      <c r="H17" s="116" t="n">
        <v>0</v>
      </c>
      <c r="I17" s="116" t="n">
        <v>10</v>
      </c>
      <c r="J17" s="57" t="n">
        <v>20</v>
      </c>
      <c r="K17" s="57" t="n">
        <v>30</v>
      </c>
      <c r="L17" s="57" t="n">
        <v>50</v>
      </c>
      <c r="M17" s="57" t="n">
        <f aca="false">L17</f>
        <v>50</v>
      </c>
      <c r="N17" s="57" t="n">
        <f aca="false">M17*2</f>
        <v>100</v>
      </c>
      <c r="O17" s="57" t="n">
        <f aca="false">N17</f>
        <v>100</v>
      </c>
      <c r="P17" s="57" t="n">
        <f aca="false">O17*1.25</f>
        <v>125</v>
      </c>
      <c r="Q17" s="57" t="n">
        <f aca="false">P17</f>
        <v>125</v>
      </c>
      <c r="R17" s="57" t="n">
        <f aca="false">Q17</f>
        <v>125</v>
      </c>
      <c r="S17" s="89" t="n">
        <v>175</v>
      </c>
      <c r="T17" s="57" t="n">
        <f aca="false">SUM(H17:S17)</f>
        <v>910</v>
      </c>
      <c r="U17" s="57"/>
      <c r="V17" s="57" t="n">
        <f aca="false">S17-25</f>
        <v>150</v>
      </c>
      <c r="W17" s="57" t="n">
        <f aca="false">V17+25</f>
        <v>175</v>
      </c>
      <c r="X17" s="117" t="n">
        <f aca="false">W17*1.2</f>
        <v>210</v>
      </c>
      <c r="Y17" s="57" t="n">
        <f aca="false">ROUNDUP(X17*1.25)</f>
        <v>263</v>
      </c>
      <c r="Z17" s="117" t="n">
        <f aca="false">Y17*1.3</f>
        <v>341.9</v>
      </c>
      <c r="AA17" s="92" t="n">
        <f aca="false">Z17*1.3</f>
        <v>444.47</v>
      </c>
      <c r="AB17" s="92" t="n">
        <f aca="false">AA17*1.3</f>
        <v>577.811</v>
      </c>
      <c r="AC17" s="92" t="n">
        <f aca="false">AB17*1.2</f>
        <v>693.3732</v>
      </c>
      <c r="AD17" s="92" t="n">
        <f aca="false">AC17*1.1</f>
        <v>762.71052</v>
      </c>
      <c r="AE17" s="92" t="n">
        <f aca="false">AD17*1.2</f>
        <v>915.252624</v>
      </c>
      <c r="AF17" s="92" t="n">
        <f aca="false">AE17*1.1</f>
        <v>1006.7778864</v>
      </c>
      <c r="AG17" s="93" t="n">
        <f aca="false">AF17*1.1</f>
        <v>1107.45567504</v>
      </c>
      <c r="AH17" s="92" t="n">
        <f aca="false">SUM(V17:AG17)</f>
        <v>6647.75090544</v>
      </c>
      <c r="AI17" s="57"/>
      <c r="AJ17" s="92" t="n">
        <v>1200</v>
      </c>
      <c r="AK17" s="92" t="n">
        <f aca="false">AJ17*1.5</f>
        <v>1800</v>
      </c>
      <c r="AL17" s="92" t="n">
        <f aca="false">AK17+500</f>
        <v>2300</v>
      </c>
      <c r="AM17" s="92" t="n">
        <f aca="false">AL17+500</f>
        <v>2800</v>
      </c>
      <c r="AN17" s="92" t="n">
        <f aca="false">AM17+500</f>
        <v>3300</v>
      </c>
      <c r="AO17" s="92" t="n">
        <f aca="false">AN17+500</f>
        <v>3800</v>
      </c>
      <c r="AP17" s="92" t="n">
        <f aca="false">AO17+500</f>
        <v>4300</v>
      </c>
      <c r="AQ17" s="92" t="n">
        <f aca="false">AP17+1000</f>
        <v>5300</v>
      </c>
      <c r="AR17" s="92" t="n">
        <f aca="false">AQ17+1500</f>
        <v>6800</v>
      </c>
      <c r="AS17" s="92" t="n">
        <f aca="false">AR17+1750</f>
        <v>8550</v>
      </c>
      <c r="AT17" s="92" t="n">
        <f aca="false">AS17+1750</f>
        <v>10300</v>
      </c>
      <c r="AU17" s="93" t="n">
        <f aca="false">AT17+1000</f>
        <v>11300</v>
      </c>
      <c r="AV17" s="92" t="n">
        <f aca="false">SUM(AJ17:AU17)</f>
        <v>61750</v>
      </c>
    </row>
    <row r="18" customFormat="false" ht="15.8" hidden="false" customHeight="false" outlineLevel="0" collapsed="false">
      <c r="A18" s="62"/>
      <c r="B18" s="62" t="s">
        <v>94</v>
      </c>
      <c r="C18" s="62"/>
      <c r="D18" s="57"/>
      <c r="E18" s="94"/>
      <c r="F18" s="95"/>
      <c r="G18" s="95"/>
      <c r="H18" s="96" t="n">
        <f aca="false">H19*1.8</f>
        <v>2498.4</v>
      </c>
      <c r="I18" s="96" t="n">
        <f aca="false">I19*1.8</f>
        <v>2498.4</v>
      </c>
      <c r="J18" s="96" t="n">
        <f aca="false">J19*1.8</f>
        <v>2498.4</v>
      </c>
      <c r="K18" s="96" t="n">
        <f aca="false">K19*1.8</f>
        <v>2498.4</v>
      </c>
      <c r="L18" s="96" t="n">
        <f aca="false">L19*1.8</f>
        <v>2498.4</v>
      </c>
      <c r="M18" s="96" t="n">
        <f aca="false">M19*1.8</f>
        <v>2498.4</v>
      </c>
      <c r="N18" s="96" t="n">
        <f aca="false">N19*1.8</f>
        <v>2498.4</v>
      </c>
      <c r="O18" s="96" t="n">
        <f aca="false">O19*1.8</f>
        <v>2498.4</v>
      </c>
      <c r="P18" s="96" t="n">
        <f aca="false">P19*1.8</f>
        <v>2498.4</v>
      </c>
      <c r="Q18" s="96" t="n">
        <f aca="false">Q19*1.8</f>
        <v>2498.4</v>
      </c>
      <c r="R18" s="96" t="n">
        <f aca="false">R19*1.8</f>
        <v>2498.4</v>
      </c>
      <c r="S18" s="97" t="n">
        <f aca="false">S19*1.8</f>
        <v>2498.4</v>
      </c>
      <c r="T18" s="96" t="n">
        <f aca="false">T21/T17</f>
        <v>2498.4</v>
      </c>
      <c r="U18" s="96"/>
      <c r="V18" s="96" t="n">
        <f aca="false">V19*1.5</f>
        <v>2082</v>
      </c>
      <c r="W18" s="96" t="n">
        <f aca="false">W19*1.5</f>
        <v>2082</v>
      </c>
      <c r="X18" s="96" t="n">
        <f aca="false">X19*1.5</f>
        <v>2082</v>
      </c>
      <c r="Y18" s="96" t="n">
        <f aca="false">Y19*1.5</f>
        <v>2082</v>
      </c>
      <c r="Z18" s="96" t="n">
        <f aca="false">Z19*1.5</f>
        <v>2082</v>
      </c>
      <c r="AA18" s="96" t="n">
        <f aca="false">AA19*1.5</f>
        <v>2082</v>
      </c>
      <c r="AB18" s="96" t="n">
        <f aca="false">AB19*1.5</f>
        <v>2082</v>
      </c>
      <c r="AC18" s="96" t="n">
        <f aca="false">AC19*1.5</f>
        <v>2082</v>
      </c>
      <c r="AD18" s="96" t="n">
        <f aca="false">AD19*1.55</f>
        <v>2043.83</v>
      </c>
      <c r="AE18" s="96" t="n">
        <f aca="false">AE19*1.55</f>
        <v>2043.83</v>
      </c>
      <c r="AF18" s="96" t="n">
        <f aca="false">AF19*1.55</f>
        <v>2043.83</v>
      </c>
      <c r="AG18" s="97" t="n">
        <f aca="false">AG19*1.55</f>
        <v>2043.83</v>
      </c>
      <c r="AH18" s="96" t="n">
        <f aca="false">AH21/AH17</f>
        <v>2060.22599698671</v>
      </c>
      <c r="AI18" s="96"/>
      <c r="AJ18" s="96" t="n">
        <f aca="false">AJ19*1.55</f>
        <v>2043.83</v>
      </c>
      <c r="AK18" s="96" t="n">
        <f aca="false">AK19*1.55</f>
        <v>2043.83</v>
      </c>
      <c r="AL18" s="96" t="n">
        <f aca="false">AL19*1.55</f>
        <v>2043.83</v>
      </c>
      <c r="AM18" s="96" t="n">
        <f aca="false">AM19*1.55</f>
        <v>2043.83</v>
      </c>
      <c r="AN18" s="96" t="n">
        <f aca="false">AN19*1.55</f>
        <v>2043.83</v>
      </c>
      <c r="AO18" s="96" t="n">
        <f aca="false">AO19*1.55</f>
        <v>2043.83</v>
      </c>
      <c r="AP18" s="96" t="n">
        <f aca="false">AP19*1.55</f>
        <v>2043.83</v>
      </c>
      <c r="AQ18" s="96" t="n">
        <f aca="false">AQ19*1.55</f>
        <v>2043.83</v>
      </c>
      <c r="AR18" s="96" t="n">
        <f aca="false">AR19*1.55</f>
        <v>2043.83</v>
      </c>
      <c r="AS18" s="96" t="n">
        <f aca="false">AS19*1.55</f>
        <v>2043.83</v>
      </c>
      <c r="AT18" s="96" t="n">
        <f aca="false">AT19*1.55</f>
        <v>2043.83</v>
      </c>
      <c r="AU18" s="97" t="n">
        <f aca="false">AU19*1.55</f>
        <v>2043.83</v>
      </c>
      <c r="AV18" s="96" t="n">
        <f aca="false">AV21/AV17</f>
        <v>2043.83</v>
      </c>
    </row>
    <row r="19" customFormat="false" ht="15.8" hidden="false" customHeight="false" outlineLevel="0" collapsed="false">
      <c r="A19" s="62"/>
      <c r="B19" s="62" t="s">
        <v>95</v>
      </c>
      <c r="C19" s="62"/>
      <c r="D19" s="57"/>
      <c r="E19" s="100"/>
      <c r="F19" s="95"/>
      <c r="G19" s="95"/>
      <c r="H19" s="96" t="n">
        <v>1388</v>
      </c>
      <c r="I19" s="118" t="n">
        <f aca="false">H19</f>
        <v>1388</v>
      </c>
      <c r="J19" s="96" t="n">
        <f aca="false">I19</f>
        <v>1388</v>
      </c>
      <c r="K19" s="96" t="n">
        <f aca="false">J19</f>
        <v>1388</v>
      </c>
      <c r="L19" s="96" t="n">
        <f aca="false">K19</f>
        <v>1388</v>
      </c>
      <c r="M19" s="96" t="n">
        <f aca="false">L19</f>
        <v>1388</v>
      </c>
      <c r="N19" s="96" t="n">
        <f aca="false">M19</f>
        <v>1388</v>
      </c>
      <c r="O19" s="96" t="n">
        <f aca="false">N19</f>
        <v>1388</v>
      </c>
      <c r="P19" s="96" t="n">
        <f aca="false">O19</f>
        <v>1388</v>
      </c>
      <c r="Q19" s="96" t="n">
        <f aca="false">P19</f>
        <v>1388</v>
      </c>
      <c r="R19" s="96" t="n">
        <f aca="false">Q19</f>
        <v>1388</v>
      </c>
      <c r="S19" s="97" t="n">
        <f aca="false">R19</f>
        <v>1388</v>
      </c>
      <c r="T19" s="96" t="n">
        <f aca="false">T22/T17</f>
        <v>1388</v>
      </c>
      <c r="U19" s="96"/>
      <c r="V19" s="96" t="n">
        <f aca="false">S19</f>
        <v>1388</v>
      </c>
      <c r="W19" s="96" t="n">
        <f aca="false">V19</f>
        <v>1388</v>
      </c>
      <c r="X19" s="96" t="n">
        <f aca="false">W19</f>
        <v>1388</v>
      </c>
      <c r="Y19" s="96" t="n">
        <f aca="false">X19</f>
        <v>1388</v>
      </c>
      <c r="Z19" s="96" t="n">
        <f aca="false">Y19</f>
        <v>1388</v>
      </c>
      <c r="AA19" s="96" t="n">
        <f aca="false">Z19</f>
        <v>1388</v>
      </c>
      <c r="AB19" s="96" t="n">
        <f aca="false">AA19</f>
        <v>1388</v>
      </c>
      <c r="AC19" s="96" t="n">
        <f aca="false">AB19</f>
        <v>1388</v>
      </c>
      <c r="AD19" s="96" t="n">
        <f aca="false">AC19*0.95</f>
        <v>1318.6</v>
      </c>
      <c r="AE19" s="96" t="n">
        <f aca="false">AD19</f>
        <v>1318.6</v>
      </c>
      <c r="AF19" s="96" t="n">
        <f aca="false">AE19</f>
        <v>1318.6</v>
      </c>
      <c r="AG19" s="97" t="n">
        <f aca="false">AF19</f>
        <v>1318.6</v>
      </c>
      <c r="AH19" s="96" t="n">
        <f aca="false">AH22/AH17</f>
        <v>1348.4109036122</v>
      </c>
      <c r="AI19" s="96"/>
      <c r="AJ19" s="96" t="n">
        <f aca="false">AG19</f>
        <v>1318.6</v>
      </c>
      <c r="AK19" s="96" t="n">
        <f aca="false">AJ19</f>
        <v>1318.6</v>
      </c>
      <c r="AL19" s="96" t="n">
        <f aca="false">AK19</f>
        <v>1318.6</v>
      </c>
      <c r="AM19" s="96" t="n">
        <f aca="false">AL19</f>
        <v>1318.6</v>
      </c>
      <c r="AN19" s="96" t="n">
        <f aca="false">AM19</f>
        <v>1318.6</v>
      </c>
      <c r="AO19" s="96" t="n">
        <f aca="false">AN19</f>
        <v>1318.6</v>
      </c>
      <c r="AP19" s="96" t="n">
        <f aca="false">AO19</f>
        <v>1318.6</v>
      </c>
      <c r="AQ19" s="96" t="n">
        <f aca="false">AP19</f>
        <v>1318.6</v>
      </c>
      <c r="AR19" s="96" t="n">
        <f aca="false">AQ19</f>
        <v>1318.6</v>
      </c>
      <c r="AS19" s="96" t="n">
        <f aca="false">AR19</f>
        <v>1318.6</v>
      </c>
      <c r="AT19" s="96" t="n">
        <f aca="false">AS19</f>
        <v>1318.6</v>
      </c>
      <c r="AU19" s="97" t="n">
        <f aca="false">AT19</f>
        <v>1318.6</v>
      </c>
      <c r="AV19" s="96" t="n">
        <f aca="false">AV22/AV17</f>
        <v>1318.6</v>
      </c>
    </row>
    <row r="20" customFormat="false" ht="3.75" hidden="false" customHeight="true" outlineLevel="0" collapsed="false">
      <c r="A20" s="62"/>
      <c r="B20" s="62"/>
      <c r="C20" s="62"/>
      <c r="D20" s="57"/>
      <c r="E20" s="101"/>
      <c r="F20" s="95"/>
      <c r="G20" s="95"/>
      <c r="H20" s="119"/>
      <c r="I20" s="119"/>
      <c r="J20" s="96"/>
      <c r="K20" s="96"/>
      <c r="L20" s="96"/>
      <c r="M20" s="96"/>
      <c r="N20" s="96"/>
      <c r="O20" s="96"/>
      <c r="P20" s="96"/>
      <c r="Q20" s="96"/>
      <c r="R20" s="96"/>
      <c r="S20" s="97"/>
      <c r="T20" s="96"/>
      <c r="U20" s="96"/>
      <c r="V20" s="96"/>
      <c r="W20" s="96"/>
      <c r="X20" s="96"/>
      <c r="Y20" s="96"/>
      <c r="Z20" s="96"/>
      <c r="AA20" s="96"/>
      <c r="AB20" s="96"/>
      <c r="AC20" s="96"/>
      <c r="AD20" s="96"/>
      <c r="AE20" s="96"/>
      <c r="AF20" s="96"/>
      <c r="AG20" s="97"/>
      <c r="AH20" s="96"/>
      <c r="AI20" s="96"/>
      <c r="AJ20" s="96"/>
      <c r="AK20" s="96"/>
      <c r="AL20" s="96"/>
      <c r="AM20" s="96"/>
      <c r="AN20" s="96"/>
      <c r="AO20" s="96"/>
      <c r="AP20" s="96"/>
      <c r="AQ20" s="96"/>
      <c r="AR20" s="96"/>
      <c r="AS20" s="96"/>
      <c r="AT20" s="96"/>
      <c r="AU20" s="97"/>
      <c r="AV20" s="96"/>
    </row>
    <row r="21" s="32" customFormat="true" ht="15.8" hidden="false" customHeight="false" outlineLevel="0" collapsed="false">
      <c r="B21" s="25" t="s">
        <v>96</v>
      </c>
      <c r="E21" s="102"/>
      <c r="F21" s="87"/>
      <c r="G21" s="87"/>
      <c r="H21" s="103" t="n">
        <f aca="false">H17*H18</f>
        <v>0</v>
      </c>
      <c r="I21" s="103" t="n">
        <f aca="false">I17*I18</f>
        <v>24984</v>
      </c>
      <c r="J21" s="103" t="n">
        <f aca="false">J17*J18</f>
        <v>49968</v>
      </c>
      <c r="K21" s="103" t="n">
        <f aca="false">K17*K18</f>
        <v>74952</v>
      </c>
      <c r="L21" s="103" t="n">
        <f aca="false">L17*L18</f>
        <v>124920</v>
      </c>
      <c r="M21" s="103" t="n">
        <f aca="false">M17*M18</f>
        <v>124920</v>
      </c>
      <c r="N21" s="103" t="n">
        <f aca="false">N17*N18</f>
        <v>249840</v>
      </c>
      <c r="O21" s="103" t="n">
        <f aca="false">O17*O18</f>
        <v>249840</v>
      </c>
      <c r="P21" s="103" t="n">
        <f aca="false">P17*P18</f>
        <v>312300</v>
      </c>
      <c r="Q21" s="103" t="n">
        <f aca="false">Q17*Q18</f>
        <v>312300</v>
      </c>
      <c r="R21" s="103" t="n">
        <f aca="false">R17*R18</f>
        <v>312300</v>
      </c>
      <c r="S21" s="104" t="n">
        <f aca="false">S17*S18</f>
        <v>437220</v>
      </c>
      <c r="T21" s="103" t="n">
        <f aca="false">SUM(H21:S21)</f>
        <v>2273544</v>
      </c>
      <c r="U21" s="103"/>
      <c r="V21" s="103" t="n">
        <f aca="false">V17*V18</f>
        <v>312300</v>
      </c>
      <c r="W21" s="103" t="n">
        <f aca="false">W17*W18</f>
        <v>364350</v>
      </c>
      <c r="X21" s="103" t="n">
        <f aca="false">X17*X18</f>
        <v>437220</v>
      </c>
      <c r="Y21" s="103" t="n">
        <f aca="false">Y17*Y18</f>
        <v>547566</v>
      </c>
      <c r="Z21" s="103" t="n">
        <f aca="false">Z17*Z18</f>
        <v>711835.8</v>
      </c>
      <c r="AA21" s="103" t="n">
        <f aca="false">AA17*AA18</f>
        <v>925386.54</v>
      </c>
      <c r="AB21" s="103" t="n">
        <f aca="false">AB17*AB18</f>
        <v>1203002.502</v>
      </c>
      <c r="AC21" s="103" t="n">
        <f aca="false">AC17*AC18</f>
        <v>1443603.0024</v>
      </c>
      <c r="AD21" s="103" t="n">
        <f aca="false">AD17*AD18</f>
        <v>1558850.6420916</v>
      </c>
      <c r="AE21" s="103" t="n">
        <f aca="false">AE17*AE18</f>
        <v>1870620.77050992</v>
      </c>
      <c r="AF21" s="103" t="n">
        <f aca="false">AF17*AF18</f>
        <v>2057682.84756091</v>
      </c>
      <c r="AG21" s="104" t="n">
        <f aca="false">AG17*AG18</f>
        <v>2263451.132317</v>
      </c>
      <c r="AH21" s="103" t="n">
        <f aca="false">SUM(V21:AG21)</f>
        <v>13695869.2368794</v>
      </c>
      <c r="AI21" s="103"/>
      <c r="AJ21" s="103" t="n">
        <f aca="false">AJ17*AJ18</f>
        <v>2452596</v>
      </c>
      <c r="AK21" s="103" t="n">
        <f aca="false">AK17*AK18</f>
        <v>3678894</v>
      </c>
      <c r="AL21" s="103" t="n">
        <f aca="false">AL17*AL18</f>
        <v>4700809</v>
      </c>
      <c r="AM21" s="103" t="n">
        <f aca="false">AM17*AM18</f>
        <v>5722724</v>
      </c>
      <c r="AN21" s="103" t="n">
        <f aca="false">AN17*AN18</f>
        <v>6744639</v>
      </c>
      <c r="AO21" s="103" t="n">
        <f aca="false">AO17*AO18</f>
        <v>7766554</v>
      </c>
      <c r="AP21" s="103" t="n">
        <f aca="false">AP17*AP18</f>
        <v>8788469</v>
      </c>
      <c r="AQ21" s="103" t="n">
        <f aca="false">AQ17*AQ18</f>
        <v>10832299</v>
      </c>
      <c r="AR21" s="103" t="n">
        <f aca="false">AR17*AR18</f>
        <v>13898044</v>
      </c>
      <c r="AS21" s="103" t="n">
        <f aca="false">AS17*AS18</f>
        <v>17474746.5</v>
      </c>
      <c r="AT21" s="103" t="n">
        <f aca="false">AT17*AT18</f>
        <v>21051449</v>
      </c>
      <c r="AU21" s="104" t="n">
        <f aca="false">AU17*AU18</f>
        <v>23095279</v>
      </c>
      <c r="AV21" s="103" t="n">
        <f aca="false">SUM(AJ21:AU21)</f>
        <v>126206502.5</v>
      </c>
    </row>
    <row r="22" s="32" customFormat="true" ht="15.8" hidden="false" customHeight="false" outlineLevel="0" collapsed="false">
      <c r="B22" s="25" t="s">
        <v>97</v>
      </c>
      <c r="E22" s="102"/>
      <c r="F22" s="87"/>
      <c r="G22" s="87"/>
      <c r="H22" s="103" t="n">
        <f aca="false">H17*H19</f>
        <v>0</v>
      </c>
      <c r="I22" s="103" t="n">
        <f aca="false">I17*I19</f>
        <v>13880</v>
      </c>
      <c r="J22" s="103" t="n">
        <f aca="false">J17*J19</f>
        <v>27760</v>
      </c>
      <c r="K22" s="103" t="n">
        <f aca="false">K17*K19</f>
        <v>41640</v>
      </c>
      <c r="L22" s="103" t="n">
        <f aca="false">L17*L19</f>
        <v>69400</v>
      </c>
      <c r="M22" s="103" t="n">
        <f aca="false">M17*M19</f>
        <v>69400</v>
      </c>
      <c r="N22" s="103" t="n">
        <f aca="false">N17*N19</f>
        <v>138800</v>
      </c>
      <c r="O22" s="103" t="n">
        <f aca="false">O17*O19</f>
        <v>138800</v>
      </c>
      <c r="P22" s="103" t="n">
        <f aca="false">P17*P19</f>
        <v>173500</v>
      </c>
      <c r="Q22" s="103" t="n">
        <f aca="false">Q17*Q19</f>
        <v>173500</v>
      </c>
      <c r="R22" s="103" t="n">
        <f aca="false">R17*R19</f>
        <v>173500</v>
      </c>
      <c r="S22" s="104" t="n">
        <f aca="false">S17*S19</f>
        <v>242900</v>
      </c>
      <c r="T22" s="103" t="n">
        <f aca="false">SUM(H22:S22)</f>
        <v>1263080</v>
      </c>
      <c r="U22" s="103"/>
      <c r="V22" s="103" t="n">
        <f aca="false">V17*V19</f>
        <v>208200</v>
      </c>
      <c r="W22" s="103" t="n">
        <f aca="false">W17*W19</f>
        <v>242900</v>
      </c>
      <c r="X22" s="103" t="n">
        <f aca="false">X17*X19</f>
        <v>291480</v>
      </c>
      <c r="Y22" s="103" t="n">
        <f aca="false">Y17*Y19</f>
        <v>365044</v>
      </c>
      <c r="Z22" s="103" t="n">
        <f aca="false">Z17*Z19</f>
        <v>474557.2</v>
      </c>
      <c r="AA22" s="103" t="n">
        <f aca="false">AA17*AA19</f>
        <v>616924.36</v>
      </c>
      <c r="AB22" s="103" t="n">
        <f aca="false">AB17*AB19</f>
        <v>802001.668</v>
      </c>
      <c r="AC22" s="103" t="n">
        <f aca="false">AC17*AC19</f>
        <v>962402.0016</v>
      </c>
      <c r="AD22" s="103" t="n">
        <f aca="false">AD17*AD19</f>
        <v>1005710.091672</v>
      </c>
      <c r="AE22" s="103" t="n">
        <f aca="false">AE17*AE19</f>
        <v>1206852.1100064</v>
      </c>
      <c r="AF22" s="103" t="n">
        <f aca="false">AF17*AF19</f>
        <v>1327537.32100704</v>
      </c>
      <c r="AG22" s="104" t="n">
        <f aca="false">AG17*AG19</f>
        <v>1460291.05310774</v>
      </c>
      <c r="AH22" s="103" t="n">
        <f aca="false">SUM(V22:AG22)</f>
        <v>8963899.80539318</v>
      </c>
      <c r="AI22" s="103"/>
      <c r="AJ22" s="103" t="n">
        <f aca="false">AJ17*AJ19</f>
        <v>1582320</v>
      </c>
      <c r="AK22" s="103" t="n">
        <f aca="false">AK17*AK19</f>
        <v>2373480</v>
      </c>
      <c r="AL22" s="103" t="n">
        <f aca="false">AL17*AL19</f>
        <v>3032780</v>
      </c>
      <c r="AM22" s="103" t="n">
        <f aca="false">AM17*AM19</f>
        <v>3692080</v>
      </c>
      <c r="AN22" s="103" t="n">
        <f aca="false">AN17*AN19</f>
        <v>4351380</v>
      </c>
      <c r="AO22" s="103" t="n">
        <f aca="false">AO17*AO19</f>
        <v>5010680</v>
      </c>
      <c r="AP22" s="103" t="n">
        <f aca="false">AP17*AP19</f>
        <v>5669980</v>
      </c>
      <c r="AQ22" s="103" t="n">
        <f aca="false">AQ17*AQ19</f>
        <v>6988580</v>
      </c>
      <c r="AR22" s="103" t="n">
        <f aca="false">AR17*AR19</f>
        <v>8966480</v>
      </c>
      <c r="AS22" s="103" t="n">
        <f aca="false">AS17*AS19</f>
        <v>11274030</v>
      </c>
      <c r="AT22" s="103" t="n">
        <f aca="false">AT17*AT19</f>
        <v>13581580</v>
      </c>
      <c r="AU22" s="104" t="n">
        <f aca="false">AU17*AU19</f>
        <v>14900180</v>
      </c>
      <c r="AV22" s="103" t="n">
        <f aca="false">SUM(AJ22:AU22)</f>
        <v>81423550</v>
      </c>
    </row>
    <row r="23" s="32" customFormat="true" ht="15.8" hidden="false" customHeight="false" outlineLevel="0" collapsed="false">
      <c r="B23" s="25" t="s">
        <v>98</v>
      </c>
      <c r="E23" s="102"/>
      <c r="F23" s="87"/>
      <c r="G23" s="87"/>
      <c r="H23" s="103" t="n">
        <f aca="false">H21-H22</f>
        <v>0</v>
      </c>
      <c r="I23" s="103" t="n">
        <f aca="false">I21-I22</f>
        <v>11104</v>
      </c>
      <c r="J23" s="103" t="n">
        <f aca="false">J21-J22</f>
        <v>22208</v>
      </c>
      <c r="K23" s="103" t="n">
        <f aca="false">K21-K22</f>
        <v>33312</v>
      </c>
      <c r="L23" s="103" t="n">
        <f aca="false">L21-L22</f>
        <v>55520</v>
      </c>
      <c r="M23" s="103" t="n">
        <f aca="false">M21-M22</f>
        <v>55520</v>
      </c>
      <c r="N23" s="103" t="n">
        <f aca="false">N21-N22</f>
        <v>111040</v>
      </c>
      <c r="O23" s="103" t="n">
        <f aca="false">O21-O22</f>
        <v>111040</v>
      </c>
      <c r="P23" s="103" t="n">
        <f aca="false">P21-P22</f>
        <v>138800</v>
      </c>
      <c r="Q23" s="103" t="n">
        <f aca="false">Q21-Q22</f>
        <v>138800</v>
      </c>
      <c r="R23" s="103" t="n">
        <f aca="false">R21-R22</f>
        <v>138800</v>
      </c>
      <c r="S23" s="104" t="n">
        <f aca="false">S21-S22</f>
        <v>194320</v>
      </c>
      <c r="T23" s="103" t="n">
        <f aca="false">SUM(H23:S23)</f>
        <v>1010464</v>
      </c>
      <c r="U23" s="103"/>
      <c r="V23" s="103" t="n">
        <f aca="false">V21-V22</f>
        <v>104100</v>
      </c>
      <c r="W23" s="103" t="n">
        <f aca="false">W21-W22</f>
        <v>121450</v>
      </c>
      <c r="X23" s="103" t="n">
        <f aca="false">X21-X22</f>
        <v>145740</v>
      </c>
      <c r="Y23" s="103" t="n">
        <f aca="false">Y21-Y22</f>
        <v>182522</v>
      </c>
      <c r="Z23" s="103" t="n">
        <f aca="false">Z21-Z22</f>
        <v>237278.6</v>
      </c>
      <c r="AA23" s="103" t="n">
        <f aca="false">AA21-AA22</f>
        <v>308462.18</v>
      </c>
      <c r="AB23" s="103" t="n">
        <f aca="false">AB21-AB22</f>
        <v>401000.834</v>
      </c>
      <c r="AC23" s="103" t="n">
        <f aca="false">AC21-AC22</f>
        <v>481201.0008</v>
      </c>
      <c r="AD23" s="103" t="n">
        <f aca="false">AD21-AD22</f>
        <v>553140.5504196</v>
      </c>
      <c r="AE23" s="103" t="n">
        <f aca="false">AE21-AE22</f>
        <v>663768.66050352</v>
      </c>
      <c r="AF23" s="103" t="n">
        <f aca="false">AF21-AF22</f>
        <v>730145.526553873</v>
      </c>
      <c r="AG23" s="104" t="n">
        <f aca="false">AG21-AG22</f>
        <v>803160.079209259</v>
      </c>
      <c r="AH23" s="103" t="n">
        <f aca="false">SUM(V23:AG23)</f>
        <v>4731969.43148625</v>
      </c>
      <c r="AI23" s="103"/>
      <c r="AJ23" s="103" t="n">
        <f aca="false">AJ21-AJ22</f>
        <v>870276</v>
      </c>
      <c r="AK23" s="103" t="n">
        <f aca="false">AK21-AK22</f>
        <v>1305414</v>
      </c>
      <c r="AL23" s="103" t="n">
        <f aca="false">AL21-AL22</f>
        <v>1668029</v>
      </c>
      <c r="AM23" s="103" t="n">
        <f aca="false">AM21-AM22</f>
        <v>2030644</v>
      </c>
      <c r="AN23" s="103" t="n">
        <f aca="false">AN21-AN22</f>
        <v>2393259</v>
      </c>
      <c r="AO23" s="103" t="n">
        <f aca="false">AO21-AO22</f>
        <v>2755874</v>
      </c>
      <c r="AP23" s="103" t="n">
        <f aca="false">AP21-AP22</f>
        <v>3118489</v>
      </c>
      <c r="AQ23" s="103" t="n">
        <f aca="false">AQ21-AQ22</f>
        <v>3843719</v>
      </c>
      <c r="AR23" s="103" t="n">
        <f aca="false">AR21-AR22</f>
        <v>4931564</v>
      </c>
      <c r="AS23" s="103" t="n">
        <f aca="false">AS21-AS22</f>
        <v>6200716.5</v>
      </c>
      <c r="AT23" s="103" t="n">
        <f aca="false">AT21-AT22</f>
        <v>7469869</v>
      </c>
      <c r="AU23" s="104" t="n">
        <f aca="false">AU21-AU22</f>
        <v>8195099</v>
      </c>
      <c r="AV23" s="103" t="n">
        <f aca="false">SUM(AJ23:AU23)</f>
        <v>44782952.5</v>
      </c>
    </row>
    <row r="24" s="105" customFormat="true" ht="15.8" hidden="false" customHeight="false" outlineLevel="0" collapsed="false">
      <c r="B24" s="106" t="s">
        <v>99</v>
      </c>
      <c r="E24" s="107"/>
      <c r="F24" s="107"/>
      <c r="G24" s="107"/>
      <c r="H24" s="108" t="n">
        <f aca="false">IF(H21=0,0,(1-H22/H21))</f>
        <v>0</v>
      </c>
      <c r="I24" s="108" t="n">
        <f aca="false">IF(I21=0,0,(1-I22/I21))</f>
        <v>0.444444444444444</v>
      </c>
      <c r="J24" s="108" t="n">
        <f aca="false">IF(J21=0,0,(1-J22/J21))</f>
        <v>0.444444444444444</v>
      </c>
      <c r="K24" s="108" t="n">
        <f aca="false">IF(K21=0,0,(1-K22/K21))</f>
        <v>0.444444444444444</v>
      </c>
      <c r="L24" s="108" t="n">
        <f aca="false">IF(L21=0,0,(1-L22/L21))</f>
        <v>0.444444444444444</v>
      </c>
      <c r="M24" s="108" t="n">
        <f aca="false">IF(M21=0,0,(1-M22/M21))</f>
        <v>0.444444444444444</v>
      </c>
      <c r="N24" s="108" t="n">
        <f aca="false">IF(N21=0,0,(1-N22/N21))</f>
        <v>0.444444444444444</v>
      </c>
      <c r="O24" s="108" t="n">
        <f aca="false">IF(O21=0,0,(1-O22/O21))</f>
        <v>0.444444444444444</v>
      </c>
      <c r="P24" s="108" t="n">
        <f aca="false">IF(P21=0,0,(1-P22/P21))</f>
        <v>0.444444444444444</v>
      </c>
      <c r="Q24" s="108" t="n">
        <f aca="false">IF(Q21=0,0,(1-Q22/Q21))</f>
        <v>0.444444444444444</v>
      </c>
      <c r="R24" s="108" t="n">
        <f aca="false">IF(R21=0,0,(1-R22/R21))</f>
        <v>0.444444444444444</v>
      </c>
      <c r="S24" s="109" t="n">
        <f aca="false">IF(S21=0,0,(1-S22/S21))</f>
        <v>0.444444444444444</v>
      </c>
      <c r="T24" s="108" t="n">
        <f aca="false">IF(T21=0,0,(1-T22/T21))</f>
        <v>0.444444444444444</v>
      </c>
      <c r="U24" s="108"/>
      <c r="V24" s="108" t="n">
        <f aca="false">IF(V21=0,0,(1-V22/V21))</f>
        <v>0.333333333333333</v>
      </c>
      <c r="W24" s="108" t="n">
        <f aca="false">IF(W21=0,0,(1-W22/W21))</f>
        <v>0.333333333333333</v>
      </c>
      <c r="X24" s="108" t="n">
        <f aca="false">IF(X21=0,0,(1-X22/X21))</f>
        <v>0.333333333333333</v>
      </c>
      <c r="Y24" s="108" t="n">
        <f aca="false">IF(Y21=0,0,(1-Y22/Y21))</f>
        <v>0.333333333333333</v>
      </c>
      <c r="Z24" s="108" t="n">
        <f aca="false">IF(Z21=0,0,(1-Z22/Z21))</f>
        <v>0.333333333333333</v>
      </c>
      <c r="AA24" s="108" t="n">
        <f aca="false">IF(AA21=0,0,(1-AA22/AA21))</f>
        <v>0.333333333333333</v>
      </c>
      <c r="AB24" s="108" t="n">
        <f aca="false">IF(AB21=0,0,(1-AB22/AB21))</f>
        <v>0.333333333333333</v>
      </c>
      <c r="AC24" s="108" t="n">
        <f aca="false">IF(AC21=0,0,(1-AC22/AC21))</f>
        <v>0.333333333333333</v>
      </c>
      <c r="AD24" s="108" t="n">
        <f aca="false">IF(AD21=0,0,(1-AD22/AD21))</f>
        <v>0.354838709677419</v>
      </c>
      <c r="AE24" s="108" t="n">
        <f aca="false">IF(AE21=0,0,(1-AE22/AE21))</f>
        <v>0.354838709677419</v>
      </c>
      <c r="AF24" s="108" t="n">
        <f aca="false">IF(AF21=0,0,(1-AF22/AF21))</f>
        <v>0.354838709677419</v>
      </c>
      <c r="AG24" s="109" t="n">
        <f aca="false">IF(AG21=0,0,(1-AG22/AG21))</f>
        <v>0.354838709677419</v>
      </c>
      <c r="AH24" s="108" t="n">
        <f aca="false">IF(AH21=0,0,(1-AH22/AH21))</f>
        <v>0.345503403226447</v>
      </c>
      <c r="AI24" s="108"/>
      <c r="AJ24" s="108" t="n">
        <f aca="false">IF(AJ21=0,0,(1-AJ22/AJ21))</f>
        <v>0.354838709677419</v>
      </c>
      <c r="AK24" s="108" t="n">
        <f aca="false">IF(AK21=0,0,(1-AK22/AK21))</f>
        <v>0.354838709677419</v>
      </c>
      <c r="AL24" s="108" t="n">
        <f aca="false">IF(AL21=0,0,(1-AL22/AL21))</f>
        <v>0.354838709677419</v>
      </c>
      <c r="AM24" s="108" t="n">
        <f aca="false">IF(AM21=0,0,(1-AM22/AM21))</f>
        <v>0.354838709677419</v>
      </c>
      <c r="AN24" s="108" t="n">
        <f aca="false">IF(AN21=0,0,(1-AN22/AN21))</f>
        <v>0.354838709677419</v>
      </c>
      <c r="AO24" s="108" t="n">
        <f aca="false">IF(AO21=0,0,(1-AO22/AO21))</f>
        <v>0.354838709677419</v>
      </c>
      <c r="AP24" s="108" t="n">
        <f aca="false">IF(AP21=0,0,(1-AP22/AP21))</f>
        <v>0.354838709677419</v>
      </c>
      <c r="AQ24" s="108" t="n">
        <f aca="false">IF(AQ21=0,0,(1-AQ22/AQ21))</f>
        <v>0.354838709677419</v>
      </c>
      <c r="AR24" s="108" t="n">
        <f aca="false">IF(AR21=0,0,(1-AR22/AR21))</f>
        <v>0.354838709677419</v>
      </c>
      <c r="AS24" s="108" t="n">
        <f aca="false">IF(AS21=0,0,(1-AS22/AS21))</f>
        <v>0.354838709677419</v>
      </c>
      <c r="AT24" s="108" t="n">
        <f aca="false">IF(AT21=0,0,(1-AT22/AT21))</f>
        <v>0.354838709677419</v>
      </c>
      <c r="AU24" s="109" t="n">
        <f aca="false">IF(AU21=0,0,(1-AU22/AU21))</f>
        <v>0.354838709677419</v>
      </c>
      <c r="AV24" s="108" t="n">
        <f aca="false">IF(AV21=0,0,(1-AV22/AV21))</f>
        <v>0.354838709677419</v>
      </c>
    </row>
    <row r="25" s="105" customFormat="true" ht="15.8" hidden="false" customHeight="false" outlineLevel="0" collapsed="false">
      <c r="A25" s="110"/>
      <c r="B25" s="111" t="s">
        <v>100</v>
      </c>
      <c r="C25" s="110"/>
      <c r="D25" s="110"/>
      <c r="E25" s="112"/>
      <c r="F25" s="112"/>
      <c r="G25" s="112"/>
      <c r="H25" s="113" t="n">
        <v>0</v>
      </c>
      <c r="I25" s="113" t="n">
        <f aca="false">(I17/10)*300</f>
        <v>300</v>
      </c>
      <c r="J25" s="113" t="n">
        <f aca="false">J17*0.1*300</f>
        <v>600</v>
      </c>
      <c r="K25" s="113" t="n">
        <f aca="false">K17*0.1*300</f>
        <v>900</v>
      </c>
      <c r="L25" s="113" t="n">
        <f aca="false">L17*0.1*300</f>
        <v>1500</v>
      </c>
      <c r="M25" s="113" t="n">
        <f aca="false">M17*0.1*300</f>
        <v>1500</v>
      </c>
      <c r="N25" s="113" t="n">
        <f aca="false">N17*0.1*300</f>
        <v>3000</v>
      </c>
      <c r="O25" s="113" t="n">
        <f aca="false">O17*0.1*300</f>
        <v>3000</v>
      </c>
      <c r="P25" s="113" t="n">
        <f aca="false">P17*0.1*300</f>
        <v>3750</v>
      </c>
      <c r="Q25" s="113" t="n">
        <f aca="false">Q17*0.1*300</f>
        <v>3750</v>
      </c>
      <c r="R25" s="113" t="n">
        <f aca="false">R17*0.15*300</f>
        <v>5625</v>
      </c>
      <c r="S25" s="114" t="n">
        <f aca="false">S17*0.15*300</f>
        <v>7875</v>
      </c>
      <c r="T25" s="113" t="n">
        <f aca="false">SUM(H25:S25)</f>
        <v>31800</v>
      </c>
      <c r="U25" s="108"/>
      <c r="V25" s="113" t="n">
        <f aca="false">V17*0.25*300</f>
        <v>11250</v>
      </c>
      <c r="W25" s="113" t="n">
        <f aca="false">W17*0.25*300</f>
        <v>13125</v>
      </c>
      <c r="X25" s="113" t="n">
        <f aca="false">X17*0.25*300</f>
        <v>15750</v>
      </c>
      <c r="Y25" s="113" t="n">
        <f aca="false">Y17*0.25*300</f>
        <v>19725</v>
      </c>
      <c r="Z25" s="113" t="n">
        <f aca="false">Z17*0.25*300</f>
        <v>25642.5</v>
      </c>
      <c r="AA25" s="113" t="n">
        <f aca="false">AA17*0.25*300</f>
        <v>33335.25</v>
      </c>
      <c r="AB25" s="113" t="n">
        <f aca="false">AB17*0.25*300</f>
        <v>43335.825</v>
      </c>
      <c r="AC25" s="113" t="n">
        <f aca="false">AC17*0.25*300</f>
        <v>52002.99</v>
      </c>
      <c r="AD25" s="113" t="n">
        <f aca="false">AD17*0.25*300</f>
        <v>57203.289</v>
      </c>
      <c r="AE25" s="113" t="n">
        <f aca="false">AE17*0.25*300</f>
        <v>68643.9468</v>
      </c>
      <c r="AF25" s="113" t="n">
        <f aca="false">AF17*0.25*300</f>
        <v>75508.34148</v>
      </c>
      <c r="AG25" s="114" t="n">
        <f aca="false">AG17*0.25*300</f>
        <v>83059.175628</v>
      </c>
      <c r="AH25" s="113" t="n">
        <f aca="false">SUM(V25:AG25)</f>
        <v>498581.317908</v>
      </c>
      <c r="AI25" s="108"/>
      <c r="AJ25" s="113" t="n">
        <f aca="false">AJ17*0.5*300</f>
        <v>180000</v>
      </c>
      <c r="AK25" s="113" t="n">
        <f aca="false">AK17*0.5*300</f>
        <v>270000</v>
      </c>
      <c r="AL25" s="113" t="n">
        <f aca="false">AL17*0.5*300</f>
        <v>345000</v>
      </c>
      <c r="AM25" s="113" t="n">
        <f aca="false">AM17*0.5*300</f>
        <v>420000</v>
      </c>
      <c r="AN25" s="113" t="n">
        <f aca="false">AN17*0.5*300</f>
        <v>495000</v>
      </c>
      <c r="AO25" s="113" t="n">
        <f aca="false">AO17*0.5*300</f>
        <v>570000</v>
      </c>
      <c r="AP25" s="113" t="n">
        <f aca="false">AP17*0.5*300</f>
        <v>645000</v>
      </c>
      <c r="AQ25" s="113" t="n">
        <f aca="false">AQ17*0.5*300</f>
        <v>795000</v>
      </c>
      <c r="AR25" s="113" t="n">
        <f aca="false">AR17*0.5*300</f>
        <v>1020000</v>
      </c>
      <c r="AS25" s="113" t="n">
        <f aca="false">AS17*0.5*300</f>
        <v>1282500</v>
      </c>
      <c r="AT25" s="113" t="n">
        <f aca="false">AT17*0.5*300</f>
        <v>1545000</v>
      </c>
      <c r="AU25" s="114" t="n">
        <f aca="false">AU17*0.5*300</f>
        <v>1695000</v>
      </c>
      <c r="AV25" s="113" t="n">
        <f aca="false">SUM(AJ25:AU25)</f>
        <v>9262500</v>
      </c>
    </row>
    <row r="26" s="105" customFormat="true" ht="15.8" hidden="false" customHeight="false" outlineLevel="0" collapsed="false">
      <c r="A26" s="110"/>
      <c r="B26" s="111" t="s">
        <v>101</v>
      </c>
      <c r="C26" s="110"/>
      <c r="D26" s="110"/>
      <c r="E26" s="112"/>
      <c r="F26" s="112"/>
      <c r="G26" s="112"/>
      <c r="H26" s="113" t="n">
        <f aca="false">H25*1.1</f>
        <v>0</v>
      </c>
      <c r="I26" s="113" t="n">
        <f aca="false">I25*0.8</f>
        <v>240</v>
      </c>
      <c r="J26" s="113" t="n">
        <f aca="false">J25*0.7</f>
        <v>420</v>
      </c>
      <c r="K26" s="113" t="n">
        <f aca="false">K25*0.7</f>
        <v>630</v>
      </c>
      <c r="L26" s="113" t="n">
        <f aca="false">L25*0.7</f>
        <v>1050</v>
      </c>
      <c r="M26" s="113" t="n">
        <f aca="false">M25*0.7</f>
        <v>1050</v>
      </c>
      <c r="N26" s="113" t="n">
        <f aca="false">N25*0.6</f>
        <v>1800</v>
      </c>
      <c r="O26" s="113" t="n">
        <f aca="false">O25*0.6</f>
        <v>1800</v>
      </c>
      <c r="P26" s="113" t="n">
        <f aca="false">P25*0.6</f>
        <v>2250</v>
      </c>
      <c r="Q26" s="113" t="n">
        <f aca="false">Q25*0.6</f>
        <v>2250</v>
      </c>
      <c r="R26" s="113" t="n">
        <f aca="false">R25*0.6</f>
        <v>3375</v>
      </c>
      <c r="S26" s="114" t="n">
        <f aca="false">S25*0.6</f>
        <v>4725</v>
      </c>
      <c r="T26" s="113" t="n">
        <f aca="false">SUM(H26:S26)</f>
        <v>19590</v>
      </c>
      <c r="U26" s="108"/>
      <c r="V26" s="113" t="n">
        <f aca="false">V25*0.5</f>
        <v>5625</v>
      </c>
      <c r="W26" s="113" t="n">
        <f aca="false">W25*0.5</f>
        <v>6562.5</v>
      </c>
      <c r="X26" s="113" t="n">
        <f aca="false">X25*0.5</f>
        <v>7875</v>
      </c>
      <c r="Y26" s="113" t="n">
        <f aca="false">Y25*0.5</f>
        <v>9862.5</v>
      </c>
      <c r="Z26" s="113" t="n">
        <f aca="false">Z25*0.5</f>
        <v>12821.25</v>
      </c>
      <c r="AA26" s="113" t="n">
        <f aca="false">AA25*0.5</f>
        <v>16667.625</v>
      </c>
      <c r="AB26" s="113" t="n">
        <f aca="false">AB25*0.5</f>
        <v>21667.9125</v>
      </c>
      <c r="AC26" s="113" t="n">
        <f aca="false">AC25*0.5</f>
        <v>26001.495</v>
      </c>
      <c r="AD26" s="113" t="n">
        <f aca="false">AD25*0.5</f>
        <v>28601.6445</v>
      </c>
      <c r="AE26" s="113" t="n">
        <f aca="false">AE25*0.5</f>
        <v>34321.9734</v>
      </c>
      <c r="AF26" s="113" t="n">
        <f aca="false">AF25*0.5</f>
        <v>37754.17074</v>
      </c>
      <c r="AG26" s="114" t="n">
        <f aca="false">AG25*0.33</f>
        <v>27409.52795724</v>
      </c>
      <c r="AH26" s="113" t="n">
        <f aca="false">SUM(V26:AG26)</f>
        <v>235170.59909724</v>
      </c>
      <c r="AI26" s="108"/>
      <c r="AJ26" s="113" t="n">
        <f aca="false">AJ25*0.33</f>
        <v>59400</v>
      </c>
      <c r="AK26" s="113" t="n">
        <f aca="false">AK25*0.33</f>
        <v>89100</v>
      </c>
      <c r="AL26" s="113" t="n">
        <f aca="false">AL25*0.33</f>
        <v>113850</v>
      </c>
      <c r="AM26" s="113" t="n">
        <f aca="false">AM25*0.33</f>
        <v>138600</v>
      </c>
      <c r="AN26" s="113" t="n">
        <f aca="false">AN25*0.33</f>
        <v>163350</v>
      </c>
      <c r="AO26" s="113" t="n">
        <f aca="false">AO25*0.33</f>
        <v>188100</v>
      </c>
      <c r="AP26" s="113" t="n">
        <f aca="false">AP25*0.33</f>
        <v>212850</v>
      </c>
      <c r="AQ26" s="113" t="n">
        <f aca="false">AQ25*0.33</f>
        <v>262350</v>
      </c>
      <c r="AR26" s="113" t="n">
        <f aca="false">AR25*0.33</f>
        <v>336600</v>
      </c>
      <c r="AS26" s="113" t="n">
        <f aca="false">AS25*0.33</f>
        <v>423225</v>
      </c>
      <c r="AT26" s="113" t="n">
        <f aca="false">AT25*0.33</f>
        <v>509850</v>
      </c>
      <c r="AU26" s="114" t="n">
        <f aca="false">AU25*0.33</f>
        <v>559350</v>
      </c>
      <c r="AV26" s="113" t="n">
        <f aca="false">SUM(AJ26:AU26)</f>
        <v>3056625</v>
      </c>
    </row>
    <row r="27" customFormat="false" ht="15.8" hidden="false" customHeight="false" outlineLevel="0" collapsed="false">
      <c r="A27" s="57"/>
      <c r="B27" s="62"/>
      <c r="C27" s="62"/>
      <c r="D27" s="57"/>
      <c r="E27" s="120"/>
      <c r="F27" s="88"/>
      <c r="G27" s="95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7"/>
      <c r="T27" s="121"/>
      <c r="U27" s="121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7"/>
      <c r="AH27" s="121"/>
      <c r="AI27" s="121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7"/>
      <c r="AV27" s="121"/>
    </row>
    <row r="28" customFormat="false" ht="15.8" hidden="false" customHeight="false" outlineLevel="0" collapsed="false">
      <c r="A28" s="91" t="s">
        <v>103</v>
      </c>
      <c r="B28" s="91"/>
      <c r="C28" s="91"/>
      <c r="D28" s="91"/>
      <c r="E28" s="88"/>
      <c r="F28" s="88"/>
      <c r="G28" s="88"/>
      <c r="H28" s="57"/>
      <c r="I28" s="57"/>
      <c r="J28" s="57"/>
      <c r="K28" s="57"/>
      <c r="L28" s="57"/>
      <c r="M28" s="57"/>
      <c r="N28" s="57"/>
      <c r="O28" s="57"/>
      <c r="P28" s="57"/>
      <c r="Q28" s="57"/>
      <c r="R28" s="57"/>
      <c r="S28" s="89"/>
      <c r="T28" s="57"/>
      <c r="U28" s="57"/>
      <c r="V28" s="57"/>
      <c r="W28" s="57"/>
      <c r="X28" s="57"/>
      <c r="Y28" s="57"/>
      <c r="Z28" s="57"/>
      <c r="AA28" s="57"/>
      <c r="AB28" s="57"/>
      <c r="AC28" s="57"/>
      <c r="AD28" s="57"/>
      <c r="AE28" s="57"/>
      <c r="AF28" s="57"/>
      <c r="AG28" s="89"/>
      <c r="AH28" s="57"/>
      <c r="AI28" s="57"/>
      <c r="AJ28" s="57"/>
      <c r="AK28" s="57"/>
      <c r="AL28" s="57"/>
      <c r="AM28" s="57"/>
      <c r="AN28" s="57"/>
      <c r="AO28" s="57"/>
      <c r="AP28" s="57"/>
      <c r="AQ28" s="57"/>
      <c r="AR28" s="57"/>
      <c r="AS28" s="57"/>
      <c r="AT28" s="57"/>
      <c r="AU28" s="89"/>
      <c r="AV28" s="57"/>
    </row>
    <row r="29" customFormat="false" ht="15.8" hidden="false" customHeight="false" outlineLevel="0" collapsed="false">
      <c r="A29" s="91"/>
      <c r="B29" s="91" t="s">
        <v>93</v>
      </c>
      <c r="C29" s="91"/>
      <c r="D29" s="91"/>
      <c r="E29" s="88"/>
      <c r="F29" s="88"/>
      <c r="G29" s="88"/>
      <c r="H29" s="116" t="n">
        <v>0</v>
      </c>
      <c r="I29" s="116" t="n">
        <v>0</v>
      </c>
      <c r="J29" s="57" t="n">
        <v>10</v>
      </c>
      <c r="K29" s="57" t="n">
        <v>15</v>
      </c>
      <c r="L29" s="57" t="n">
        <v>20</v>
      </c>
      <c r="M29" s="57" t="n">
        <v>20</v>
      </c>
      <c r="N29" s="57" t="n">
        <v>30</v>
      </c>
      <c r="O29" s="57" t="n">
        <v>40</v>
      </c>
      <c r="P29" s="57" t="n">
        <v>40</v>
      </c>
      <c r="Q29" s="57" t="n">
        <v>50</v>
      </c>
      <c r="R29" s="57" t="n">
        <v>80</v>
      </c>
      <c r="S29" s="93" t="n">
        <v>100</v>
      </c>
      <c r="T29" s="92" t="n">
        <f aca="false">SUM(H29:S29)</f>
        <v>405</v>
      </c>
      <c r="U29" s="57"/>
      <c r="V29" s="92" t="n">
        <v>200</v>
      </c>
      <c r="W29" s="92" t="n">
        <v>300</v>
      </c>
      <c r="X29" s="92" t="n">
        <v>350</v>
      </c>
      <c r="Y29" s="92" t="n">
        <v>450</v>
      </c>
      <c r="Z29" s="92" t="n">
        <v>600</v>
      </c>
      <c r="AA29" s="92" t="n">
        <v>600</v>
      </c>
      <c r="AB29" s="92" t="n">
        <v>800</v>
      </c>
      <c r="AC29" s="92" t="n">
        <v>800</v>
      </c>
      <c r="AD29" s="92" t="n">
        <v>1000</v>
      </c>
      <c r="AE29" s="92" t="n">
        <v>1200</v>
      </c>
      <c r="AF29" s="92" t="n">
        <v>1400</v>
      </c>
      <c r="AG29" s="93" t="n">
        <v>1500</v>
      </c>
      <c r="AH29" s="92" t="n">
        <f aca="false">SUM(V29:AG29)</f>
        <v>9200</v>
      </c>
      <c r="AI29" s="57"/>
      <c r="AJ29" s="92" t="n">
        <v>2000</v>
      </c>
      <c r="AK29" s="92" t="n">
        <v>2500</v>
      </c>
      <c r="AL29" s="92" t="n">
        <v>3000</v>
      </c>
      <c r="AM29" s="92" t="n">
        <v>3500</v>
      </c>
      <c r="AN29" s="92" t="n">
        <v>4000</v>
      </c>
      <c r="AO29" s="92" t="n">
        <v>4000</v>
      </c>
      <c r="AP29" s="92" t="n">
        <v>4500</v>
      </c>
      <c r="AQ29" s="92" t="n">
        <v>5000</v>
      </c>
      <c r="AR29" s="92" t="n">
        <v>6000</v>
      </c>
      <c r="AS29" s="92" t="n">
        <v>6000</v>
      </c>
      <c r="AT29" s="92" t="n">
        <v>7000</v>
      </c>
      <c r="AU29" s="93" t="n">
        <v>8000</v>
      </c>
      <c r="AV29" s="92" t="n">
        <f aca="false">SUM(AJ29:AU29)</f>
        <v>55500</v>
      </c>
    </row>
    <row r="30" customFormat="false" ht="15.8" hidden="false" customHeight="false" outlineLevel="0" collapsed="false">
      <c r="A30" s="62"/>
      <c r="B30" s="62" t="s">
        <v>94</v>
      </c>
      <c r="C30" s="62"/>
      <c r="D30" s="57"/>
      <c r="E30" s="94"/>
      <c r="F30" s="95"/>
      <c r="G30" s="95"/>
      <c r="H30" s="96" t="n">
        <f aca="false">H31*1.8</f>
        <v>1386</v>
      </c>
      <c r="I30" s="96" t="n">
        <f aca="false">I31*1.8</f>
        <v>1386</v>
      </c>
      <c r="J30" s="96" t="n">
        <f aca="false">J31*1.8</f>
        <v>1386</v>
      </c>
      <c r="K30" s="96" t="n">
        <f aca="false">K31*1.8</f>
        <v>1386</v>
      </c>
      <c r="L30" s="96" t="n">
        <f aca="false">L31*1.8</f>
        <v>1247.4</v>
      </c>
      <c r="M30" s="96" t="n">
        <f aca="false">M31*1.8</f>
        <v>1247.4</v>
      </c>
      <c r="N30" s="96" t="n">
        <f aca="false">N31*1.8</f>
        <v>1247.4</v>
      </c>
      <c r="O30" s="96" t="n">
        <f aca="false">O31*1.8</f>
        <v>1247.4</v>
      </c>
      <c r="P30" s="96" t="n">
        <f aca="false">P31*1.8</f>
        <v>1247.4</v>
      </c>
      <c r="Q30" s="96" t="n">
        <f aca="false">Q31*1.8</f>
        <v>1247.4</v>
      </c>
      <c r="R30" s="96" t="n">
        <f aca="false">R31*1.8</f>
        <v>1247.4</v>
      </c>
      <c r="S30" s="97" t="n">
        <f aca="false">S31*1.8</f>
        <v>1247.4</v>
      </c>
      <c r="T30" s="96" t="n">
        <f aca="false">T33/T29</f>
        <v>1255.95555555556</v>
      </c>
      <c r="U30" s="96"/>
      <c r="V30" s="96" t="n">
        <f aca="false">V31*1.7</f>
        <v>1059.1</v>
      </c>
      <c r="W30" s="96" t="n">
        <f aca="false">W31*1.7</f>
        <v>1059.1</v>
      </c>
      <c r="X30" s="96" t="n">
        <f aca="false">X31*1.7</f>
        <v>1059.1</v>
      </c>
      <c r="Y30" s="96" t="n">
        <f aca="false">Y31*1.7</f>
        <v>1059.1</v>
      </c>
      <c r="Z30" s="96" t="n">
        <f aca="false">Z31*1.7</f>
        <v>1059.1</v>
      </c>
      <c r="AA30" s="96" t="n">
        <f aca="false">AA31*1.7</f>
        <v>1059.1</v>
      </c>
      <c r="AB30" s="96" t="n">
        <f aca="false">AB31*1.7</f>
        <v>1059.1</v>
      </c>
      <c r="AC30" s="96" t="n">
        <f aca="false">AC31*1.7</f>
        <v>1059.1</v>
      </c>
      <c r="AD30" s="96" t="n">
        <f aca="false">AD31*1.7</f>
        <v>953.19</v>
      </c>
      <c r="AE30" s="96" t="n">
        <f aca="false">AE31*1.7</f>
        <v>952</v>
      </c>
      <c r="AF30" s="96" t="n">
        <f aca="false">AF31*1.7</f>
        <v>952</v>
      </c>
      <c r="AG30" s="97" t="n">
        <f aca="false">AG31*1.7</f>
        <v>952</v>
      </c>
      <c r="AH30" s="96" t="n">
        <f aca="false">AH33/AH29</f>
        <v>999.858695652174</v>
      </c>
      <c r="AI30" s="96"/>
      <c r="AJ30" s="96" t="n">
        <f aca="false">AJ31*1.6</f>
        <v>896</v>
      </c>
      <c r="AK30" s="96" t="n">
        <f aca="false">AK31*1.6</f>
        <v>896</v>
      </c>
      <c r="AL30" s="96" t="n">
        <f aca="false">AL31*1.6</f>
        <v>896</v>
      </c>
      <c r="AM30" s="96" t="n">
        <f aca="false">AM31*1.6</f>
        <v>896</v>
      </c>
      <c r="AN30" s="96" t="n">
        <f aca="false">AN31*1.6</f>
        <v>896</v>
      </c>
      <c r="AO30" s="96" t="n">
        <f aca="false">AO31*1.6</f>
        <v>896</v>
      </c>
      <c r="AP30" s="96" t="n">
        <f aca="false">AP31*1.6</f>
        <v>896</v>
      </c>
      <c r="AQ30" s="96" t="n">
        <f aca="false">AQ31*1.6</f>
        <v>896</v>
      </c>
      <c r="AR30" s="96" t="n">
        <f aca="false">AR31*1.6</f>
        <v>851.2</v>
      </c>
      <c r="AS30" s="96" t="n">
        <f aca="false">AS31*1.6</f>
        <v>851.2</v>
      </c>
      <c r="AT30" s="96" t="n">
        <f aca="false">AT31*1.6</f>
        <v>851.2</v>
      </c>
      <c r="AU30" s="97" t="n">
        <f aca="false">AU31*1.6</f>
        <v>851.2</v>
      </c>
      <c r="AV30" s="96" t="n">
        <f aca="false">AV33/AV29</f>
        <v>874.205405405405</v>
      </c>
    </row>
    <row r="31" customFormat="false" ht="15.8" hidden="false" customHeight="false" outlineLevel="0" collapsed="false">
      <c r="A31" s="62"/>
      <c r="B31" s="62" t="s">
        <v>95</v>
      </c>
      <c r="C31" s="62"/>
      <c r="D31" s="57"/>
      <c r="E31" s="100"/>
      <c r="F31" s="95"/>
      <c r="G31" s="95"/>
      <c r="H31" s="118" t="n">
        <v>770</v>
      </c>
      <c r="I31" s="118" t="n">
        <f aca="false">H31</f>
        <v>770</v>
      </c>
      <c r="J31" s="96" t="n">
        <v>770</v>
      </c>
      <c r="K31" s="96" t="n">
        <v>770</v>
      </c>
      <c r="L31" s="96" t="n">
        <f aca="false">K31-(K31*0.1)</f>
        <v>693</v>
      </c>
      <c r="M31" s="96" t="n">
        <f aca="false">L31</f>
        <v>693</v>
      </c>
      <c r="N31" s="96" t="n">
        <f aca="false">M31</f>
        <v>693</v>
      </c>
      <c r="O31" s="96" t="n">
        <f aca="false">N31</f>
        <v>693</v>
      </c>
      <c r="P31" s="96" t="n">
        <f aca="false">O31</f>
        <v>693</v>
      </c>
      <c r="Q31" s="96" t="n">
        <f aca="false">P31</f>
        <v>693</v>
      </c>
      <c r="R31" s="96" t="n">
        <f aca="false">Q31</f>
        <v>693</v>
      </c>
      <c r="S31" s="97" t="n">
        <f aca="false">R31</f>
        <v>693</v>
      </c>
      <c r="T31" s="96" t="n">
        <f aca="false">T34/T29</f>
        <v>697.753086419753</v>
      </c>
      <c r="U31" s="96"/>
      <c r="V31" s="96" t="n">
        <v>623</v>
      </c>
      <c r="W31" s="96" t="n">
        <v>623</v>
      </c>
      <c r="X31" s="96" t="n">
        <v>623</v>
      </c>
      <c r="Y31" s="96" t="n">
        <v>623</v>
      </c>
      <c r="Z31" s="96" t="n">
        <v>623</v>
      </c>
      <c r="AA31" s="96" t="n">
        <v>623</v>
      </c>
      <c r="AB31" s="96" t="n">
        <v>623</v>
      </c>
      <c r="AC31" s="96" t="n">
        <v>623</v>
      </c>
      <c r="AD31" s="96" t="n">
        <f aca="false">AC31-(AC31*0.1)</f>
        <v>560.7</v>
      </c>
      <c r="AE31" s="96" t="n">
        <v>560</v>
      </c>
      <c r="AF31" s="96" t="n">
        <v>560</v>
      </c>
      <c r="AG31" s="97" t="n">
        <v>560</v>
      </c>
      <c r="AH31" s="96" t="n">
        <f aca="false">AH34/AH29</f>
        <v>588.152173913044</v>
      </c>
      <c r="AI31" s="96"/>
      <c r="AJ31" s="96" t="n">
        <v>560</v>
      </c>
      <c r="AK31" s="96" t="n">
        <v>560</v>
      </c>
      <c r="AL31" s="96" t="n">
        <v>560</v>
      </c>
      <c r="AM31" s="96" t="n">
        <v>560</v>
      </c>
      <c r="AN31" s="96" t="n">
        <v>560</v>
      </c>
      <c r="AO31" s="96" t="n">
        <v>560</v>
      </c>
      <c r="AP31" s="96" t="n">
        <v>560</v>
      </c>
      <c r="AQ31" s="96" t="n">
        <v>560</v>
      </c>
      <c r="AR31" s="96" t="n">
        <f aca="false">AQ31-(AQ31*0.05)</f>
        <v>532</v>
      </c>
      <c r="AS31" s="96" t="n">
        <v>532</v>
      </c>
      <c r="AT31" s="96" t="n">
        <v>532</v>
      </c>
      <c r="AU31" s="97" t="n">
        <v>532</v>
      </c>
      <c r="AV31" s="96" t="n">
        <f aca="false">AV34/AV29</f>
        <v>546.378378378378</v>
      </c>
    </row>
    <row r="32" customFormat="false" ht="3.75" hidden="false" customHeight="true" outlineLevel="0" collapsed="false">
      <c r="A32" s="62"/>
      <c r="B32" s="62"/>
      <c r="C32" s="62"/>
      <c r="D32" s="57"/>
      <c r="E32" s="101"/>
      <c r="F32" s="95"/>
      <c r="G32" s="95"/>
      <c r="H32" s="122"/>
      <c r="I32" s="122"/>
      <c r="J32" s="96"/>
      <c r="K32" s="96"/>
      <c r="L32" s="96"/>
      <c r="M32" s="96"/>
      <c r="N32" s="96"/>
      <c r="O32" s="96"/>
      <c r="P32" s="96"/>
      <c r="Q32" s="96"/>
      <c r="R32" s="96"/>
      <c r="S32" s="97"/>
      <c r="T32" s="96"/>
      <c r="U32" s="96"/>
      <c r="V32" s="96"/>
      <c r="W32" s="96"/>
      <c r="X32" s="96"/>
      <c r="Y32" s="96"/>
      <c r="Z32" s="96"/>
      <c r="AA32" s="96"/>
      <c r="AB32" s="96"/>
      <c r="AC32" s="96"/>
      <c r="AD32" s="96"/>
      <c r="AE32" s="96"/>
      <c r="AF32" s="96"/>
      <c r="AG32" s="97"/>
      <c r="AH32" s="96"/>
      <c r="AI32" s="96"/>
      <c r="AJ32" s="96"/>
      <c r="AK32" s="96"/>
      <c r="AL32" s="96"/>
      <c r="AM32" s="96"/>
      <c r="AN32" s="96"/>
      <c r="AO32" s="96"/>
      <c r="AP32" s="96"/>
      <c r="AQ32" s="96"/>
      <c r="AR32" s="96"/>
      <c r="AS32" s="96"/>
      <c r="AT32" s="96"/>
      <c r="AU32" s="97"/>
      <c r="AV32" s="96"/>
    </row>
    <row r="33" s="32" customFormat="true" ht="15.8" hidden="false" customHeight="false" outlineLevel="0" collapsed="false">
      <c r="B33" s="25" t="s">
        <v>96</v>
      </c>
      <c r="E33" s="102"/>
      <c r="F33" s="87"/>
      <c r="G33" s="87"/>
      <c r="H33" s="103" t="n">
        <f aca="false">H29*H30</f>
        <v>0</v>
      </c>
      <c r="I33" s="103" t="n">
        <f aca="false">I29*I30</f>
        <v>0</v>
      </c>
      <c r="J33" s="103" t="n">
        <f aca="false">J29*J30</f>
        <v>13860</v>
      </c>
      <c r="K33" s="103" t="n">
        <f aca="false">K29*K30</f>
        <v>20790</v>
      </c>
      <c r="L33" s="103" t="n">
        <f aca="false">L29*L30</f>
        <v>24948</v>
      </c>
      <c r="M33" s="103" t="n">
        <f aca="false">M29*M30</f>
        <v>24948</v>
      </c>
      <c r="N33" s="103" t="n">
        <f aca="false">N29*N30</f>
        <v>37422</v>
      </c>
      <c r="O33" s="103" t="n">
        <f aca="false">O29*O30</f>
        <v>49896</v>
      </c>
      <c r="P33" s="103" t="n">
        <f aca="false">P29*P30</f>
        <v>49896</v>
      </c>
      <c r="Q33" s="103" t="n">
        <f aca="false">Q29*Q30</f>
        <v>62370</v>
      </c>
      <c r="R33" s="103" t="n">
        <f aca="false">R29*R30</f>
        <v>99792</v>
      </c>
      <c r="S33" s="104" t="n">
        <f aca="false">S29*S30</f>
        <v>124740</v>
      </c>
      <c r="T33" s="103" t="n">
        <f aca="false">SUM(H33:S33)</f>
        <v>508662</v>
      </c>
      <c r="U33" s="103"/>
      <c r="V33" s="103" t="n">
        <f aca="false">V29*V30</f>
        <v>211820</v>
      </c>
      <c r="W33" s="103" t="n">
        <f aca="false">W29*W30</f>
        <v>317730</v>
      </c>
      <c r="X33" s="103" t="n">
        <f aca="false">X29*X30</f>
        <v>370685</v>
      </c>
      <c r="Y33" s="103" t="n">
        <f aca="false">Y29*Y30</f>
        <v>476595</v>
      </c>
      <c r="Z33" s="103" t="n">
        <f aca="false">Z29*Z30</f>
        <v>635460</v>
      </c>
      <c r="AA33" s="103" t="n">
        <f aca="false">AA29*AA30</f>
        <v>635460</v>
      </c>
      <c r="AB33" s="103" t="n">
        <f aca="false">AB29*AB30</f>
        <v>847280</v>
      </c>
      <c r="AC33" s="103" t="n">
        <f aca="false">AC29*AC30</f>
        <v>847280</v>
      </c>
      <c r="AD33" s="103" t="n">
        <f aca="false">AD29*AD30</f>
        <v>953190</v>
      </c>
      <c r="AE33" s="103" t="n">
        <f aca="false">AE29*AE30</f>
        <v>1142400</v>
      </c>
      <c r="AF33" s="103" t="n">
        <f aca="false">AF29*AF30</f>
        <v>1332800</v>
      </c>
      <c r="AG33" s="104" t="n">
        <f aca="false">AG29*AG30</f>
        <v>1428000</v>
      </c>
      <c r="AH33" s="103" t="n">
        <f aca="false">SUM(V33:AG33)</f>
        <v>9198700</v>
      </c>
      <c r="AI33" s="103"/>
      <c r="AJ33" s="103" t="n">
        <f aca="false">AJ29*AJ30</f>
        <v>1792000</v>
      </c>
      <c r="AK33" s="103" t="n">
        <f aca="false">AK29*AK30</f>
        <v>2240000</v>
      </c>
      <c r="AL33" s="103" t="n">
        <f aca="false">AL29*AL30</f>
        <v>2688000</v>
      </c>
      <c r="AM33" s="103" t="n">
        <f aca="false">AM29*AM30</f>
        <v>3136000</v>
      </c>
      <c r="AN33" s="103" t="n">
        <f aca="false">AN29*AN30</f>
        <v>3584000</v>
      </c>
      <c r="AO33" s="103" t="n">
        <f aca="false">AO29*AO30</f>
        <v>3584000</v>
      </c>
      <c r="AP33" s="103" t="n">
        <f aca="false">AP29*AP30</f>
        <v>4032000</v>
      </c>
      <c r="AQ33" s="103" t="n">
        <f aca="false">AQ29*AQ30</f>
        <v>4480000</v>
      </c>
      <c r="AR33" s="103" t="n">
        <f aca="false">AR29*AR30</f>
        <v>5107200</v>
      </c>
      <c r="AS33" s="103" t="n">
        <f aca="false">AS29*AS30</f>
        <v>5107200</v>
      </c>
      <c r="AT33" s="103" t="n">
        <f aca="false">AT29*AT30</f>
        <v>5958400</v>
      </c>
      <c r="AU33" s="104" t="n">
        <f aca="false">AU29*AU30</f>
        <v>6809600</v>
      </c>
      <c r="AV33" s="103" t="n">
        <f aca="false">SUM(AJ33:AU33)</f>
        <v>48518400</v>
      </c>
    </row>
    <row r="34" s="32" customFormat="true" ht="15.8" hidden="false" customHeight="false" outlineLevel="0" collapsed="false">
      <c r="B34" s="25" t="s">
        <v>97</v>
      </c>
      <c r="E34" s="102"/>
      <c r="F34" s="87"/>
      <c r="G34" s="87"/>
      <c r="H34" s="103" t="n">
        <f aca="false">H29*H31</f>
        <v>0</v>
      </c>
      <c r="I34" s="103" t="n">
        <f aca="false">I29*I31</f>
        <v>0</v>
      </c>
      <c r="J34" s="103" t="n">
        <f aca="false">J29*J31</f>
        <v>7700</v>
      </c>
      <c r="K34" s="103" t="n">
        <f aca="false">K29*K31</f>
        <v>11550</v>
      </c>
      <c r="L34" s="103" t="n">
        <f aca="false">L29*L31</f>
        <v>13860</v>
      </c>
      <c r="M34" s="103" t="n">
        <f aca="false">M29*M31</f>
        <v>13860</v>
      </c>
      <c r="N34" s="103" t="n">
        <f aca="false">N29*N31</f>
        <v>20790</v>
      </c>
      <c r="O34" s="103" t="n">
        <f aca="false">O29*O31</f>
        <v>27720</v>
      </c>
      <c r="P34" s="103" t="n">
        <f aca="false">P29*P31</f>
        <v>27720</v>
      </c>
      <c r="Q34" s="103" t="n">
        <f aca="false">Q29*Q31</f>
        <v>34650</v>
      </c>
      <c r="R34" s="103" t="n">
        <f aca="false">R29*R31</f>
        <v>55440</v>
      </c>
      <c r="S34" s="104" t="n">
        <f aca="false">S29*S31</f>
        <v>69300</v>
      </c>
      <c r="T34" s="103" t="n">
        <f aca="false">SUM(H34:S34)</f>
        <v>282590</v>
      </c>
      <c r="U34" s="103"/>
      <c r="V34" s="103" t="n">
        <f aca="false">V29*V31</f>
        <v>124600</v>
      </c>
      <c r="W34" s="103" t="n">
        <f aca="false">W29*W31</f>
        <v>186900</v>
      </c>
      <c r="X34" s="103" t="n">
        <f aca="false">X29*X31</f>
        <v>218050</v>
      </c>
      <c r="Y34" s="103" t="n">
        <f aca="false">Y29*Y31</f>
        <v>280350</v>
      </c>
      <c r="Z34" s="103" t="n">
        <f aca="false">Z29*Z31</f>
        <v>373800</v>
      </c>
      <c r="AA34" s="103" t="n">
        <f aca="false">AA29*AA31</f>
        <v>373800</v>
      </c>
      <c r="AB34" s="103" t="n">
        <f aca="false">AB29*AB31</f>
        <v>498400</v>
      </c>
      <c r="AC34" s="103" t="n">
        <f aca="false">AC29*AC31</f>
        <v>498400</v>
      </c>
      <c r="AD34" s="103" t="n">
        <f aca="false">AD29*AD31</f>
        <v>560700</v>
      </c>
      <c r="AE34" s="103" t="n">
        <f aca="false">AE29*AE31</f>
        <v>672000</v>
      </c>
      <c r="AF34" s="103" t="n">
        <f aca="false">AF29*AF31</f>
        <v>784000</v>
      </c>
      <c r="AG34" s="104" t="n">
        <f aca="false">AG29*AG31</f>
        <v>840000</v>
      </c>
      <c r="AH34" s="103" t="n">
        <f aca="false">SUM(V34:AG34)</f>
        <v>5411000</v>
      </c>
      <c r="AI34" s="103"/>
      <c r="AJ34" s="103" t="n">
        <f aca="false">AJ29*AJ31</f>
        <v>1120000</v>
      </c>
      <c r="AK34" s="103" t="n">
        <f aca="false">AK29*AK31</f>
        <v>1400000</v>
      </c>
      <c r="AL34" s="103" t="n">
        <f aca="false">AL29*AL31</f>
        <v>1680000</v>
      </c>
      <c r="AM34" s="103" t="n">
        <f aca="false">AM29*AM31</f>
        <v>1960000</v>
      </c>
      <c r="AN34" s="103" t="n">
        <f aca="false">AN29*AN31</f>
        <v>2240000</v>
      </c>
      <c r="AO34" s="103" t="n">
        <f aca="false">AO29*AO31</f>
        <v>2240000</v>
      </c>
      <c r="AP34" s="103" t="n">
        <f aca="false">AP29*AP31</f>
        <v>2520000</v>
      </c>
      <c r="AQ34" s="103" t="n">
        <f aca="false">AQ29*AQ31</f>
        <v>2800000</v>
      </c>
      <c r="AR34" s="103" t="n">
        <f aca="false">AR29*AR31</f>
        <v>3192000</v>
      </c>
      <c r="AS34" s="103" t="n">
        <f aca="false">AS29*AS31</f>
        <v>3192000</v>
      </c>
      <c r="AT34" s="103" t="n">
        <f aca="false">AT29*AT31</f>
        <v>3724000</v>
      </c>
      <c r="AU34" s="104" t="n">
        <f aca="false">AU29*AU31</f>
        <v>4256000</v>
      </c>
      <c r="AV34" s="103" t="n">
        <f aca="false">SUM(AJ34:AU34)</f>
        <v>30324000</v>
      </c>
    </row>
    <row r="35" s="32" customFormat="true" ht="15.8" hidden="false" customHeight="false" outlineLevel="0" collapsed="false">
      <c r="B35" s="25" t="s">
        <v>98</v>
      </c>
      <c r="E35" s="102"/>
      <c r="F35" s="87"/>
      <c r="G35" s="87"/>
      <c r="H35" s="103" t="n">
        <f aca="false">H33-H34</f>
        <v>0</v>
      </c>
      <c r="I35" s="103" t="n">
        <f aca="false">I33-I34</f>
        <v>0</v>
      </c>
      <c r="J35" s="103" t="n">
        <f aca="false">J33-J34</f>
        <v>6160</v>
      </c>
      <c r="K35" s="103" t="n">
        <f aca="false">K33-K34</f>
        <v>9240</v>
      </c>
      <c r="L35" s="103" t="n">
        <f aca="false">L33-L34</f>
        <v>11088</v>
      </c>
      <c r="M35" s="103" t="n">
        <f aca="false">M33-M34</f>
        <v>11088</v>
      </c>
      <c r="N35" s="103" t="n">
        <f aca="false">N33-N34</f>
        <v>16632</v>
      </c>
      <c r="O35" s="103" t="n">
        <f aca="false">O33-O34</f>
        <v>22176</v>
      </c>
      <c r="P35" s="103" t="n">
        <f aca="false">P33-P34</f>
        <v>22176</v>
      </c>
      <c r="Q35" s="103" t="n">
        <f aca="false">Q33-Q34</f>
        <v>27720</v>
      </c>
      <c r="R35" s="103" t="n">
        <f aca="false">R33-R34</f>
        <v>44352</v>
      </c>
      <c r="S35" s="104" t="n">
        <f aca="false">S33-S34</f>
        <v>55440</v>
      </c>
      <c r="T35" s="103" t="n">
        <f aca="false">SUM(H35:S35)</f>
        <v>226072</v>
      </c>
      <c r="U35" s="103"/>
      <c r="V35" s="103" t="n">
        <f aca="false">V33-V34</f>
        <v>87220</v>
      </c>
      <c r="W35" s="103" t="n">
        <f aca="false">W33-W34</f>
        <v>130830</v>
      </c>
      <c r="X35" s="103" t="n">
        <f aca="false">X33-X34</f>
        <v>152635</v>
      </c>
      <c r="Y35" s="103" t="n">
        <f aca="false">Y33-Y34</f>
        <v>196245</v>
      </c>
      <c r="Z35" s="103" t="n">
        <f aca="false">Z33-Z34</f>
        <v>261660</v>
      </c>
      <c r="AA35" s="103" t="n">
        <f aca="false">AA33-AA34</f>
        <v>261660</v>
      </c>
      <c r="AB35" s="103" t="n">
        <f aca="false">AB33-AB34</f>
        <v>348880</v>
      </c>
      <c r="AC35" s="103" t="n">
        <f aca="false">AC33-AC34</f>
        <v>348880</v>
      </c>
      <c r="AD35" s="103" t="n">
        <f aca="false">AD33-AD34</f>
        <v>392490</v>
      </c>
      <c r="AE35" s="103" t="n">
        <f aca="false">AE33-AE34</f>
        <v>470400</v>
      </c>
      <c r="AF35" s="103" t="n">
        <f aca="false">AF33-AF34</f>
        <v>548800</v>
      </c>
      <c r="AG35" s="104" t="n">
        <f aca="false">AG33-AG34</f>
        <v>588000</v>
      </c>
      <c r="AH35" s="103" t="n">
        <f aca="false">SUM(V35:AG35)</f>
        <v>3787700</v>
      </c>
      <c r="AI35" s="103"/>
      <c r="AJ35" s="103" t="n">
        <f aca="false">AJ33-AJ34</f>
        <v>672000</v>
      </c>
      <c r="AK35" s="103" t="n">
        <f aca="false">AK33-AK34</f>
        <v>840000</v>
      </c>
      <c r="AL35" s="103" t="n">
        <f aca="false">AL33-AL34</f>
        <v>1008000</v>
      </c>
      <c r="AM35" s="103" t="n">
        <f aca="false">AM33-AM34</f>
        <v>1176000</v>
      </c>
      <c r="AN35" s="103" t="n">
        <f aca="false">AN33-AN34</f>
        <v>1344000</v>
      </c>
      <c r="AO35" s="103" t="n">
        <f aca="false">AO33-AO34</f>
        <v>1344000</v>
      </c>
      <c r="AP35" s="103" t="n">
        <f aca="false">AP33-AP34</f>
        <v>1512000</v>
      </c>
      <c r="AQ35" s="103" t="n">
        <f aca="false">AQ33-AQ34</f>
        <v>1680000</v>
      </c>
      <c r="AR35" s="103" t="n">
        <f aca="false">AR33-AR34</f>
        <v>1915200</v>
      </c>
      <c r="AS35" s="103" t="n">
        <f aca="false">AS33-AS34</f>
        <v>1915200</v>
      </c>
      <c r="AT35" s="103" t="n">
        <f aca="false">AT33-AT34</f>
        <v>2234400</v>
      </c>
      <c r="AU35" s="104" t="n">
        <f aca="false">AU33-AU34</f>
        <v>2553600</v>
      </c>
      <c r="AV35" s="103" t="n">
        <f aca="false">SUM(AJ35:AU35)</f>
        <v>18194400</v>
      </c>
    </row>
    <row r="36" s="105" customFormat="true" ht="15.8" hidden="false" customHeight="false" outlineLevel="0" collapsed="false">
      <c r="B36" s="106" t="s">
        <v>99</v>
      </c>
      <c r="E36" s="107"/>
      <c r="F36" s="107"/>
      <c r="G36" s="107"/>
      <c r="H36" s="108" t="n">
        <f aca="false">IF(H33=0,0,(1-H34/H33))</f>
        <v>0</v>
      </c>
      <c r="I36" s="108" t="n">
        <f aca="false">IF(I33=0,0,(1-I34/I33))</f>
        <v>0</v>
      </c>
      <c r="J36" s="108" t="n">
        <f aca="false">IF(J33=0,0,(1-J34/J33))</f>
        <v>0.444444444444444</v>
      </c>
      <c r="K36" s="108" t="n">
        <f aca="false">IF(K33=0,0,(1-K34/K33))</f>
        <v>0.444444444444444</v>
      </c>
      <c r="L36" s="108" t="n">
        <f aca="false">IF(L33=0,0,(1-L34/L33))</f>
        <v>0.444444444444444</v>
      </c>
      <c r="M36" s="108" t="n">
        <f aca="false">IF(M33=0,0,(1-M34/M33))</f>
        <v>0.444444444444444</v>
      </c>
      <c r="N36" s="108" t="n">
        <f aca="false">IF(N33=0,0,(1-N34/N33))</f>
        <v>0.444444444444444</v>
      </c>
      <c r="O36" s="108" t="n">
        <f aca="false">IF(O33=0,0,(1-O34/O33))</f>
        <v>0.444444444444444</v>
      </c>
      <c r="P36" s="108" t="n">
        <f aca="false">IF(P33=0,0,(1-P34/P33))</f>
        <v>0.444444444444444</v>
      </c>
      <c r="Q36" s="108" t="n">
        <f aca="false">IF(Q33=0,0,(1-Q34/Q33))</f>
        <v>0.444444444444444</v>
      </c>
      <c r="R36" s="108" t="n">
        <f aca="false">IF(R33=0,0,(1-R34/R33))</f>
        <v>0.444444444444444</v>
      </c>
      <c r="S36" s="109" t="n">
        <f aca="false">IF(S33=0,0,(1-S34/S33))</f>
        <v>0.444444444444444</v>
      </c>
      <c r="T36" s="108" t="n">
        <f aca="false">IF(T33=0,0,(1-T34/T33))</f>
        <v>0.444444444444444</v>
      </c>
      <c r="U36" s="108"/>
      <c r="V36" s="108" t="n">
        <f aca="false">IF(V33=0,0,(1-V34/V33))</f>
        <v>0.411764705882353</v>
      </c>
      <c r="W36" s="108" t="n">
        <f aca="false">IF(W33=0,0,(1-W34/W33))</f>
        <v>0.411764705882353</v>
      </c>
      <c r="X36" s="108" t="n">
        <f aca="false">IF(X33=0,0,(1-X34/X33))</f>
        <v>0.411764705882353</v>
      </c>
      <c r="Y36" s="108" t="n">
        <f aca="false">IF(Y33=0,0,(1-Y34/Y33))</f>
        <v>0.411764705882353</v>
      </c>
      <c r="Z36" s="108" t="n">
        <f aca="false">IF(Z33=0,0,(1-Z34/Z33))</f>
        <v>0.411764705882353</v>
      </c>
      <c r="AA36" s="108" t="n">
        <f aca="false">IF(AA33=0,0,(1-AA34/AA33))</f>
        <v>0.411764705882353</v>
      </c>
      <c r="AB36" s="108" t="n">
        <f aca="false">IF(AB33=0,0,(1-AB34/AB33))</f>
        <v>0.411764705882353</v>
      </c>
      <c r="AC36" s="108" t="n">
        <f aca="false">IF(AC33=0,0,(1-AC34/AC33))</f>
        <v>0.411764705882353</v>
      </c>
      <c r="AD36" s="108" t="n">
        <f aca="false">IF(AD33=0,0,(1-AD34/AD33))</f>
        <v>0.411764705882353</v>
      </c>
      <c r="AE36" s="108" t="n">
        <f aca="false">IF(AE33=0,0,(1-AE34/AE33))</f>
        <v>0.411764705882353</v>
      </c>
      <c r="AF36" s="108" t="n">
        <f aca="false">IF(AF33=0,0,(1-AF34/AF33))</f>
        <v>0.411764705882353</v>
      </c>
      <c r="AG36" s="109" t="n">
        <f aca="false">IF(AG33=0,0,(1-AG34/AG33))</f>
        <v>0.411764705882353</v>
      </c>
      <c r="AH36" s="108" t="n">
        <f aca="false">IF(AH33=0,0,(1-AH34/AH33))</f>
        <v>0.411764705882353</v>
      </c>
      <c r="AI36" s="108"/>
      <c r="AJ36" s="108" t="n">
        <f aca="false">IF(AJ33=0,0,(1-AJ34/AJ33))</f>
        <v>0.375</v>
      </c>
      <c r="AK36" s="108" t="n">
        <f aca="false">IF(AK33=0,0,(1-AK34/AK33))</f>
        <v>0.375</v>
      </c>
      <c r="AL36" s="108" t="n">
        <f aca="false">IF(AL33=0,0,(1-AL34/AL33))</f>
        <v>0.375</v>
      </c>
      <c r="AM36" s="108" t="n">
        <f aca="false">IF(AM33=0,0,(1-AM34/AM33))</f>
        <v>0.375</v>
      </c>
      <c r="AN36" s="108" t="n">
        <f aca="false">IF(AN33=0,0,(1-AN34/AN33))</f>
        <v>0.375</v>
      </c>
      <c r="AO36" s="108" t="n">
        <f aca="false">IF(AO33=0,0,(1-AO34/AO33))</f>
        <v>0.375</v>
      </c>
      <c r="AP36" s="108" t="n">
        <f aca="false">IF(AP33=0,0,(1-AP34/AP33))</f>
        <v>0.375</v>
      </c>
      <c r="AQ36" s="108" t="n">
        <f aca="false">IF(AQ33=0,0,(1-AQ34/AQ33))</f>
        <v>0.375</v>
      </c>
      <c r="AR36" s="108" t="n">
        <f aca="false">IF(AR33=0,0,(1-AR34/AR33))</f>
        <v>0.375</v>
      </c>
      <c r="AS36" s="108" t="n">
        <f aca="false">IF(AS33=0,0,(1-AS34/AS33))</f>
        <v>0.375</v>
      </c>
      <c r="AT36" s="108" t="n">
        <f aca="false">IF(AT33=0,0,(1-AT34/AT33))</f>
        <v>0.375</v>
      </c>
      <c r="AU36" s="109" t="n">
        <f aca="false">IF(AU33=0,0,(1-AU34/AU33))</f>
        <v>0.375</v>
      </c>
      <c r="AV36" s="108" t="n">
        <f aca="false">IF(AV33=0,0,(1-AV34/AV33))</f>
        <v>0.375</v>
      </c>
    </row>
    <row r="37" s="105" customFormat="true" ht="15.8" hidden="false" customHeight="false" outlineLevel="0" collapsed="false">
      <c r="A37" s="110"/>
      <c r="B37" s="111" t="s">
        <v>100</v>
      </c>
      <c r="C37" s="110"/>
      <c r="D37" s="110"/>
      <c r="E37" s="112"/>
      <c r="F37" s="112"/>
      <c r="G37" s="112"/>
      <c r="H37" s="113" t="n">
        <f aca="false">H29*0.5*300</f>
        <v>0</v>
      </c>
      <c r="I37" s="113" t="n">
        <f aca="false">I29*0.5*300</f>
        <v>0</v>
      </c>
      <c r="J37" s="113" t="n">
        <f aca="false">J29*0.5*300</f>
        <v>1500</v>
      </c>
      <c r="K37" s="113" t="n">
        <f aca="false">K29*0.5*300</f>
        <v>2250</v>
      </c>
      <c r="L37" s="113" t="n">
        <f aca="false">L29*0.5*300</f>
        <v>3000</v>
      </c>
      <c r="M37" s="113" t="n">
        <f aca="false">M29*0.5*300</f>
        <v>3000</v>
      </c>
      <c r="N37" s="113" t="n">
        <f aca="false">N29*0.5*300</f>
        <v>4500</v>
      </c>
      <c r="O37" s="113" t="n">
        <f aca="false">O29*0.5*300</f>
        <v>6000</v>
      </c>
      <c r="P37" s="113" t="n">
        <f aca="false">P29*0.5*300</f>
        <v>6000</v>
      </c>
      <c r="Q37" s="113" t="n">
        <f aca="false">Q29*0.5*300</f>
        <v>7500</v>
      </c>
      <c r="R37" s="113" t="n">
        <f aca="false">R29*0.5*300</f>
        <v>12000</v>
      </c>
      <c r="S37" s="114" t="n">
        <f aca="false">S29*0.5*300</f>
        <v>15000</v>
      </c>
      <c r="T37" s="113" t="n">
        <f aca="false">SUM(H37:S37)</f>
        <v>60750</v>
      </c>
      <c r="U37" s="108"/>
      <c r="V37" s="113" t="n">
        <f aca="false">V29*0.5*300</f>
        <v>30000</v>
      </c>
      <c r="W37" s="113" t="n">
        <f aca="false">W29*0.5*300</f>
        <v>45000</v>
      </c>
      <c r="X37" s="113" t="n">
        <f aca="false">X29*0.5*300</f>
        <v>52500</v>
      </c>
      <c r="Y37" s="113" t="n">
        <f aca="false">Y29*0.5*300</f>
        <v>67500</v>
      </c>
      <c r="Z37" s="113" t="n">
        <f aca="false">Z29*0.5*300</f>
        <v>90000</v>
      </c>
      <c r="AA37" s="113" t="n">
        <f aca="false">AA29*0.5*300</f>
        <v>90000</v>
      </c>
      <c r="AB37" s="113" t="n">
        <f aca="false">AB29*0.5*300</f>
        <v>120000</v>
      </c>
      <c r="AC37" s="113" t="n">
        <f aca="false">AC29*0.5*300</f>
        <v>120000</v>
      </c>
      <c r="AD37" s="113" t="n">
        <f aca="false">AD29*0.5*300</f>
        <v>150000</v>
      </c>
      <c r="AE37" s="113" t="n">
        <f aca="false">AE29*0.5*300</f>
        <v>180000</v>
      </c>
      <c r="AF37" s="113" t="n">
        <f aca="false">AF29*0.5*300</f>
        <v>210000</v>
      </c>
      <c r="AG37" s="114" t="n">
        <f aca="false">AG29*0.5*300</f>
        <v>225000</v>
      </c>
      <c r="AH37" s="113" t="n">
        <f aca="false">SUM(V37:AG37)</f>
        <v>1380000</v>
      </c>
      <c r="AI37" s="108"/>
      <c r="AJ37" s="113" t="n">
        <f aca="false">AJ29*0.9*300</f>
        <v>540000</v>
      </c>
      <c r="AK37" s="113" t="n">
        <f aca="false">AK29*0.9*300</f>
        <v>675000</v>
      </c>
      <c r="AL37" s="113" t="n">
        <f aca="false">AL29*0.9*300</f>
        <v>810000</v>
      </c>
      <c r="AM37" s="113" t="n">
        <f aca="false">AM29*0.9*300</f>
        <v>945000</v>
      </c>
      <c r="AN37" s="113" t="n">
        <f aca="false">AN29*0.9*300</f>
        <v>1080000</v>
      </c>
      <c r="AO37" s="113" t="n">
        <f aca="false">AO29*0.9*300</f>
        <v>1080000</v>
      </c>
      <c r="AP37" s="113" t="n">
        <f aca="false">AP29*0.9*300</f>
        <v>1215000</v>
      </c>
      <c r="AQ37" s="113" t="n">
        <f aca="false">AQ29*0.9*300</f>
        <v>1350000</v>
      </c>
      <c r="AR37" s="113" t="n">
        <f aca="false">AR29*0.9*300</f>
        <v>1620000</v>
      </c>
      <c r="AS37" s="113" t="n">
        <f aca="false">AS29*0.9*300</f>
        <v>1620000</v>
      </c>
      <c r="AT37" s="113" t="n">
        <f aca="false">AT29*0.9*300</f>
        <v>1890000</v>
      </c>
      <c r="AU37" s="114" t="n">
        <f aca="false">AU29*0.9*300</f>
        <v>2160000</v>
      </c>
      <c r="AV37" s="113" t="n">
        <f aca="false">SUM(AJ37:AU37)</f>
        <v>14985000</v>
      </c>
    </row>
    <row r="38" s="105" customFormat="true" ht="15.8" hidden="false" customHeight="false" outlineLevel="0" collapsed="false">
      <c r="A38" s="110"/>
      <c r="B38" s="111" t="s">
        <v>101</v>
      </c>
      <c r="C38" s="110"/>
      <c r="D38" s="110"/>
      <c r="E38" s="112"/>
      <c r="F38" s="112"/>
      <c r="G38" s="112"/>
      <c r="H38" s="113" t="n">
        <f aca="false">H37*0.9</f>
        <v>0</v>
      </c>
      <c r="I38" s="113" t="n">
        <f aca="false">I37*0.9</f>
        <v>0</v>
      </c>
      <c r="J38" s="113" t="n">
        <f aca="false">J37*0.9</f>
        <v>1350</v>
      </c>
      <c r="K38" s="113" t="n">
        <f aca="false">K37*0.9</f>
        <v>2025</v>
      </c>
      <c r="L38" s="113" t="n">
        <f aca="false">L37*0.7</f>
        <v>2100</v>
      </c>
      <c r="M38" s="113" t="n">
        <f aca="false">M37*0.7</f>
        <v>2100</v>
      </c>
      <c r="N38" s="113" t="n">
        <f aca="false">N37*0.7</f>
        <v>3150</v>
      </c>
      <c r="O38" s="113" t="n">
        <f aca="false">O37*0.7</f>
        <v>4200</v>
      </c>
      <c r="P38" s="113" t="n">
        <f aca="false">P37*0.7</f>
        <v>4200</v>
      </c>
      <c r="Q38" s="113" t="n">
        <f aca="false">Q37*0.7</f>
        <v>5250</v>
      </c>
      <c r="R38" s="113" t="n">
        <f aca="false">R37*0.7</f>
        <v>8400</v>
      </c>
      <c r="S38" s="114" t="n">
        <f aca="false">S37*0.7</f>
        <v>10500</v>
      </c>
      <c r="T38" s="113" t="n">
        <f aca="false">SUM(H38:S38)</f>
        <v>43275</v>
      </c>
      <c r="U38" s="108"/>
      <c r="V38" s="113" t="n">
        <f aca="false">V37*0.45</f>
        <v>13500</v>
      </c>
      <c r="W38" s="113" t="n">
        <f aca="false">W37*0.45</f>
        <v>20250</v>
      </c>
      <c r="X38" s="113" t="n">
        <f aca="false">X37*0.45</f>
        <v>23625</v>
      </c>
      <c r="Y38" s="113" t="n">
        <f aca="false">Y37*0.45</f>
        <v>30375</v>
      </c>
      <c r="Z38" s="113" t="n">
        <f aca="false">Z37*0.45</f>
        <v>40500</v>
      </c>
      <c r="AA38" s="113" t="n">
        <f aca="false">AA37*0.45</f>
        <v>40500</v>
      </c>
      <c r="AB38" s="113" t="n">
        <f aca="false">AB37*0.45</f>
        <v>54000</v>
      </c>
      <c r="AC38" s="113" t="n">
        <f aca="false">AC37*0.45</f>
        <v>54000</v>
      </c>
      <c r="AD38" s="113" t="n">
        <f aca="false">AD37*0.45</f>
        <v>67500</v>
      </c>
      <c r="AE38" s="113" t="n">
        <f aca="false">AE37*0.45</f>
        <v>81000</v>
      </c>
      <c r="AF38" s="113" t="n">
        <f aca="false">AF37*0.45</f>
        <v>94500</v>
      </c>
      <c r="AG38" s="114" t="n">
        <f aca="false">AG37*0.45</f>
        <v>101250</v>
      </c>
      <c r="AH38" s="113" t="n">
        <f aca="false">SUM(V38:AG38)</f>
        <v>621000</v>
      </c>
      <c r="AI38" s="108"/>
      <c r="AJ38" s="113" t="n">
        <f aca="false">AJ37*0.45</f>
        <v>243000</v>
      </c>
      <c r="AK38" s="113" t="n">
        <f aca="false">AK37*0.45</f>
        <v>303750</v>
      </c>
      <c r="AL38" s="113" t="n">
        <f aca="false">AL37*0.45</f>
        <v>364500</v>
      </c>
      <c r="AM38" s="113" t="n">
        <f aca="false">AM37*0.45</f>
        <v>425250</v>
      </c>
      <c r="AN38" s="113" t="n">
        <f aca="false">AN37*0.45</f>
        <v>486000</v>
      </c>
      <c r="AO38" s="113" t="n">
        <f aca="false">AO37*0.45</f>
        <v>486000</v>
      </c>
      <c r="AP38" s="113" t="n">
        <f aca="false">AP37*0.45</f>
        <v>546750</v>
      </c>
      <c r="AQ38" s="113" t="n">
        <f aca="false">AQ37*0.45</f>
        <v>607500</v>
      </c>
      <c r="AR38" s="113" t="n">
        <f aca="false">AR37*0.45</f>
        <v>729000</v>
      </c>
      <c r="AS38" s="113" t="n">
        <f aca="false">AS37*0.45</f>
        <v>729000</v>
      </c>
      <c r="AT38" s="113" t="n">
        <f aca="false">AT37*0.45</f>
        <v>850500</v>
      </c>
      <c r="AU38" s="114" t="n">
        <f aca="false">AU37*0.45</f>
        <v>972000</v>
      </c>
      <c r="AV38" s="113" t="n">
        <f aca="false">SUM(AJ38:AU38)</f>
        <v>6743250</v>
      </c>
    </row>
    <row r="39" customFormat="false" ht="15.8" hidden="false" customHeight="false" outlineLevel="0" collapsed="false">
      <c r="A39" s="34"/>
      <c r="B39" s="34"/>
      <c r="C39" s="34"/>
      <c r="D39" s="29"/>
      <c r="E39" s="123"/>
      <c r="F39" s="95"/>
      <c r="G39" s="95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7"/>
      <c r="T39" s="124"/>
      <c r="U39" s="124"/>
      <c r="V39" s="63"/>
      <c r="W39" s="63"/>
      <c r="X39" s="63"/>
      <c r="Y39" s="63"/>
      <c r="Z39" s="63"/>
      <c r="AA39" s="63"/>
      <c r="AB39" s="63"/>
      <c r="AC39" s="63"/>
      <c r="AD39" s="63"/>
      <c r="AE39" s="63"/>
      <c r="AF39" s="63"/>
      <c r="AG39" s="67"/>
      <c r="AH39" s="124"/>
      <c r="AI39" s="124"/>
      <c r="AJ39" s="63"/>
      <c r="AK39" s="63"/>
      <c r="AL39" s="63"/>
      <c r="AM39" s="63"/>
      <c r="AN39" s="63"/>
      <c r="AO39" s="63"/>
      <c r="AP39" s="63"/>
      <c r="AQ39" s="63"/>
      <c r="AR39" s="63"/>
      <c r="AS39" s="63"/>
      <c r="AT39" s="63"/>
      <c r="AU39" s="67"/>
      <c r="AV39" s="124"/>
    </row>
    <row r="40" customFormat="false" ht="15.8" hidden="false" customHeight="false" outlineLevel="0" collapsed="false">
      <c r="A40" s="91" t="s">
        <v>104</v>
      </c>
      <c r="B40" s="91"/>
      <c r="C40" s="91"/>
      <c r="D40" s="91"/>
      <c r="E40" s="88"/>
      <c r="F40" s="88"/>
      <c r="G40" s="88"/>
      <c r="H40" s="57"/>
      <c r="I40" s="57"/>
      <c r="J40" s="57"/>
      <c r="K40" s="57"/>
      <c r="L40" s="57"/>
      <c r="M40" s="57"/>
      <c r="N40" s="57"/>
      <c r="O40" s="57"/>
      <c r="P40" s="57"/>
      <c r="Q40" s="57"/>
      <c r="R40" s="57"/>
      <c r="S40" s="89"/>
      <c r="T40" s="57"/>
      <c r="U40" s="57"/>
      <c r="V40" s="57"/>
      <c r="W40" s="57"/>
      <c r="X40" s="57"/>
      <c r="Y40" s="57"/>
      <c r="Z40" s="57"/>
      <c r="AA40" s="57"/>
      <c r="AB40" s="57"/>
      <c r="AC40" s="57"/>
      <c r="AD40" s="57"/>
      <c r="AE40" s="57"/>
      <c r="AF40" s="57"/>
      <c r="AG40" s="89"/>
      <c r="AH40" s="57"/>
      <c r="AI40" s="57"/>
      <c r="AJ40" s="57"/>
      <c r="AK40" s="57"/>
      <c r="AL40" s="57"/>
      <c r="AM40" s="57"/>
      <c r="AN40" s="57"/>
      <c r="AO40" s="57"/>
      <c r="AP40" s="57"/>
      <c r="AQ40" s="57"/>
      <c r="AR40" s="57"/>
      <c r="AS40" s="57"/>
      <c r="AT40" s="57"/>
      <c r="AU40" s="89"/>
      <c r="AV40" s="57"/>
    </row>
    <row r="41" customFormat="false" ht="15.8" hidden="false" customHeight="false" outlineLevel="0" collapsed="false">
      <c r="A41" s="91"/>
      <c r="B41" s="91" t="s">
        <v>93</v>
      </c>
      <c r="C41" s="91"/>
      <c r="D41" s="91"/>
      <c r="E41" s="88"/>
      <c r="F41" s="88"/>
      <c r="G41" s="88"/>
      <c r="H41" s="57" t="n">
        <v>0</v>
      </c>
      <c r="I41" s="57" t="n">
        <v>0</v>
      </c>
      <c r="J41" s="57" t="n">
        <v>2</v>
      </c>
      <c r="K41" s="57" t="n">
        <v>2</v>
      </c>
      <c r="L41" s="57" t="n">
        <v>4</v>
      </c>
      <c r="M41" s="57" t="n">
        <v>6</v>
      </c>
      <c r="N41" s="116" t="n">
        <v>12</v>
      </c>
      <c r="O41" s="116" t="n">
        <v>10</v>
      </c>
      <c r="P41" s="57" t="n">
        <v>12</v>
      </c>
      <c r="Q41" s="57" t="n">
        <v>12</v>
      </c>
      <c r="R41" s="57" t="n">
        <v>16</v>
      </c>
      <c r="S41" s="89" t="n">
        <v>20</v>
      </c>
      <c r="T41" s="57" t="n">
        <f aca="false">SUM(H41:S41)</f>
        <v>96</v>
      </c>
      <c r="U41" s="57"/>
      <c r="V41" s="92" t="n">
        <v>40</v>
      </c>
      <c r="W41" s="92" t="n">
        <v>60</v>
      </c>
      <c r="X41" s="92" t="n">
        <v>100</v>
      </c>
      <c r="Y41" s="92" t="n">
        <v>120</v>
      </c>
      <c r="Z41" s="92" t="n">
        <v>140</v>
      </c>
      <c r="AA41" s="92" t="n">
        <v>150</v>
      </c>
      <c r="AB41" s="92" t="n">
        <v>180</v>
      </c>
      <c r="AC41" s="92" t="n">
        <v>180</v>
      </c>
      <c r="AD41" s="92" t="n">
        <v>200</v>
      </c>
      <c r="AE41" s="92" t="n">
        <v>220</v>
      </c>
      <c r="AF41" s="92" t="n">
        <v>240</v>
      </c>
      <c r="AG41" s="93" t="n">
        <v>250</v>
      </c>
      <c r="AH41" s="92" t="n">
        <f aca="false">SUM(V41:AG41)</f>
        <v>1880</v>
      </c>
      <c r="AI41" s="57"/>
      <c r="AJ41" s="92" t="n">
        <v>220</v>
      </c>
      <c r="AK41" s="92" t="n">
        <v>220</v>
      </c>
      <c r="AL41" s="92" t="n">
        <v>240</v>
      </c>
      <c r="AM41" s="92" t="n">
        <v>280</v>
      </c>
      <c r="AN41" s="92" t="n">
        <v>300</v>
      </c>
      <c r="AO41" s="92" t="n">
        <v>320</v>
      </c>
      <c r="AP41" s="92" t="n">
        <v>340</v>
      </c>
      <c r="AQ41" s="92" t="n">
        <v>340</v>
      </c>
      <c r="AR41" s="92" t="n">
        <v>380</v>
      </c>
      <c r="AS41" s="92" t="n">
        <v>400</v>
      </c>
      <c r="AT41" s="92" t="n">
        <v>420</v>
      </c>
      <c r="AU41" s="93" t="n">
        <v>440</v>
      </c>
      <c r="AV41" s="92" t="n">
        <f aca="false">SUM(AJ41:AU41)</f>
        <v>3900</v>
      </c>
    </row>
    <row r="42" customFormat="false" ht="15.8" hidden="false" customHeight="false" outlineLevel="0" collapsed="false">
      <c r="A42" s="62"/>
      <c r="B42" s="62" t="s">
        <v>94</v>
      </c>
      <c r="C42" s="62"/>
      <c r="D42" s="57"/>
      <c r="E42" s="94"/>
      <c r="F42" s="95"/>
      <c r="G42" s="95"/>
      <c r="H42" s="96" t="n">
        <f aca="false">H43*1.8</f>
        <v>0</v>
      </c>
      <c r="I42" s="96" t="n">
        <f aca="false">I43*1.8</f>
        <v>0</v>
      </c>
      <c r="J42" s="96" t="n">
        <f aca="false">J43*1.9</f>
        <v>11124.5</v>
      </c>
      <c r="K42" s="96" t="n">
        <f aca="false">K43*1.9</f>
        <v>11124.5</v>
      </c>
      <c r="L42" s="96" t="n">
        <f aca="false">L43*1.9</f>
        <v>11124.5</v>
      </c>
      <c r="M42" s="96" t="n">
        <f aca="false">M43*1.9</f>
        <v>11124.5</v>
      </c>
      <c r="N42" s="96" t="n">
        <f aca="false">N43*1.9</f>
        <v>11124.5</v>
      </c>
      <c r="O42" s="96" t="n">
        <f aca="false">O43*1.9</f>
        <v>11124.5</v>
      </c>
      <c r="P42" s="96" t="n">
        <f aca="false">P43*1.9</f>
        <v>10012.05</v>
      </c>
      <c r="Q42" s="96" t="n">
        <f aca="false">Q43*1.9</f>
        <v>10012.05</v>
      </c>
      <c r="R42" s="96" t="n">
        <f aca="false">R43*1.9</f>
        <v>10012.05</v>
      </c>
      <c r="S42" s="97" t="n">
        <f aca="false">S43*1.9</f>
        <v>10012.05</v>
      </c>
      <c r="T42" s="96" t="n">
        <f aca="false">T45/T41</f>
        <v>10429.21875</v>
      </c>
      <c r="U42" s="96"/>
      <c r="V42" s="96" t="n">
        <f aca="false">V43*1.9</f>
        <v>9010.845</v>
      </c>
      <c r="W42" s="96" t="n">
        <f aca="false">W43*1.9</f>
        <v>9010.845</v>
      </c>
      <c r="X42" s="96" t="n">
        <f aca="false">X43*1.9</f>
        <v>9010.845</v>
      </c>
      <c r="Y42" s="96" t="n">
        <f aca="false">Y43*1.9</f>
        <v>8109.7605</v>
      </c>
      <c r="Z42" s="96" t="n">
        <f aca="false">Z43*1.9</f>
        <v>8109.7605</v>
      </c>
      <c r="AA42" s="96" t="n">
        <f aca="false">AA43*1.9</f>
        <v>8109.7605</v>
      </c>
      <c r="AB42" s="96" t="n">
        <f aca="false">AB43*1.9</f>
        <v>8109.7605</v>
      </c>
      <c r="AC42" s="96" t="n">
        <f aca="false">AC43*1.9</f>
        <v>8109.7605</v>
      </c>
      <c r="AD42" s="96" t="n">
        <f aca="false">AD43*1.9</f>
        <v>7298.78445</v>
      </c>
      <c r="AE42" s="96" t="n">
        <f aca="false">AE43*1.9</f>
        <v>7298.78445</v>
      </c>
      <c r="AF42" s="96" t="n">
        <f aca="false">AF43*1.9</f>
        <v>7298.78445</v>
      </c>
      <c r="AG42" s="97" t="n">
        <f aca="false">AG43*1.9</f>
        <v>7298.78445</v>
      </c>
      <c r="AH42" s="96" t="n">
        <f aca="false">AH45/AH41</f>
        <v>7813.07363537234</v>
      </c>
      <c r="AI42" s="96"/>
      <c r="AJ42" s="96" t="n">
        <f aca="false">AJ43*1.8</f>
        <v>6914.6379</v>
      </c>
      <c r="AK42" s="96" t="n">
        <f aca="false">AK43*1.8</f>
        <v>6914.6379</v>
      </c>
      <c r="AL42" s="96" t="n">
        <f aca="false">AL43*1.8</f>
        <v>6914.6379</v>
      </c>
      <c r="AM42" s="96" t="n">
        <f aca="false">AM43*1.8</f>
        <v>6914.6379</v>
      </c>
      <c r="AN42" s="96" t="n">
        <f aca="false">AN43*1.8</f>
        <v>6223.17411</v>
      </c>
      <c r="AO42" s="96" t="n">
        <f aca="false">AO43*1.8</f>
        <v>6223.17411</v>
      </c>
      <c r="AP42" s="96" t="n">
        <f aca="false">AP43*1.8</f>
        <v>6223.17411</v>
      </c>
      <c r="AQ42" s="96" t="n">
        <f aca="false">AQ43*1.8</f>
        <v>6223.17411</v>
      </c>
      <c r="AR42" s="96" t="n">
        <f aca="false">AR43*1.8</f>
        <v>6223.17411</v>
      </c>
      <c r="AS42" s="96" t="n">
        <f aca="false">AS43*1.8</f>
        <v>5912.0154045</v>
      </c>
      <c r="AT42" s="96" t="n">
        <f aca="false">AT43*1.8</f>
        <v>5912.0154045</v>
      </c>
      <c r="AU42" s="97" t="n">
        <f aca="false">AU43*1.8</f>
        <v>5912.0154045</v>
      </c>
      <c r="AV42" s="96" t="n">
        <f aca="false">AV45/AV41</f>
        <v>6292.85238422308</v>
      </c>
    </row>
    <row r="43" customFormat="false" ht="15.8" hidden="false" customHeight="false" outlineLevel="0" collapsed="false">
      <c r="A43" s="62"/>
      <c r="B43" s="62" t="s">
        <v>95</v>
      </c>
      <c r="C43" s="62"/>
      <c r="D43" s="57"/>
      <c r="E43" s="100"/>
      <c r="F43" s="95"/>
      <c r="G43" s="95"/>
      <c r="H43" s="96" t="n">
        <v>0</v>
      </c>
      <c r="I43" s="96" t="n">
        <v>0</v>
      </c>
      <c r="J43" s="96" t="n">
        <v>5855</v>
      </c>
      <c r="K43" s="118" t="n">
        <f aca="false">J43</f>
        <v>5855</v>
      </c>
      <c r="L43" s="118" t="n">
        <f aca="false">K43</f>
        <v>5855</v>
      </c>
      <c r="M43" s="118" t="n">
        <f aca="false">L43</f>
        <v>5855</v>
      </c>
      <c r="N43" s="118" t="n">
        <f aca="false">M43</f>
        <v>5855</v>
      </c>
      <c r="O43" s="118" t="n">
        <f aca="false">N43</f>
        <v>5855</v>
      </c>
      <c r="P43" s="96" t="n">
        <f aca="false">O43*0.9</f>
        <v>5269.5</v>
      </c>
      <c r="Q43" s="96" t="n">
        <f aca="false">P43</f>
        <v>5269.5</v>
      </c>
      <c r="R43" s="96" t="n">
        <f aca="false">Q43</f>
        <v>5269.5</v>
      </c>
      <c r="S43" s="97" t="n">
        <f aca="false">R43</f>
        <v>5269.5</v>
      </c>
      <c r="T43" s="96" t="n">
        <f aca="false">T46/T41</f>
        <v>5489.0625</v>
      </c>
      <c r="U43" s="96"/>
      <c r="V43" s="96" t="n">
        <f aca="false">S43-(S43*0.1)</f>
        <v>4742.55</v>
      </c>
      <c r="W43" s="96" t="n">
        <f aca="false">V43</f>
        <v>4742.55</v>
      </c>
      <c r="X43" s="96" t="n">
        <f aca="false">W43</f>
        <v>4742.55</v>
      </c>
      <c r="Y43" s="96" t="n">
        <f aca="false">X43-(X43*0.1)</f>
        <v>4268.295</v>
      </c>
      <c r="Z43" s="96" t="n">
        <f aca="false">Y43</f>
        <v>4268.295</v>
      </c>
      <c r="AA43" s="96" t="n">
        <f aca="false">Z43</f>
        <v>4268.295</v>
      </c>
      <c r="AB43" s="96" t="n">
        <f aca="false">AA43</f>
        <v>4268.295</v>
      </c>
      <c r="AC43" s="96" t="n">
        <f aca="false">AB43</f>
        <v>4268.295</v>
      </c>
      <c r="AD43" s="96" t="n">
        <f aca="false">AC43-(AC43*0.1)</f>
        <v>3841.4655</v>
      </c>
      <c r="AE43" s="96" t="n">
        <f aca="false">AD43</f>
        <v>3841.4655</v>
      </c>
      <c r="AF43" s="96" t="n">
        <f aca="false">AE43</f>
        <v>3841.4655</v>
      </c>
      <c r="AG43" s="97" t="n">
        <f aca="false">AF43</f>
        <v>3841.4655</v>
      </c>
      <c r="AH43" s="96" t="n">
        <f aca="false">AH46/AH41</f>
        <v>4112.14401861702</v>
      </c>
      <c r="AI43" s="96"/>
      <c r="AJ43" s="96" t="n">
        <f aca="false">AG43</f>
        <v>3841.4655</v>
      </c>
      <c r="AK43" s="96" t="n">
        <f aca="false">AJ43</f>
        <v>3841.4655</v>
      </c>
      <c r="AL43" s="96" t="n">
        <f aca="false">AK43</f>
        <v>3841.4655</v>
      </c>
      <c r="AM43" s="96" t="n">
        <f aca="false">AL43</f>
        <v>3841.4655</v>
      </c>
      <c r="AN43" s="96" t="n">
        <f aca="false">AM43-(AM43*0.1)</f>
        <v>3457.31895</v>
      </c>
      <c r="AO43" s="96" t="n">
        <f aca="false">AN43</f>
        <v>3457.31895</v>
      </c>
      <c r="AP43" s="96" t="n">
        <f aca="false">AO43</f>
        <v>3457.31895</v>
      </c>
      <c r="AQ43" s="96" t="n">
        <f aca="false">AP43</f>
        <v>3457.31895</v>
      </c>
      <c r="AR43" s="96" t="n">
        <f aca="false">AQ43</f>
        <v>3457.31895</v>
      </c>
      <c r="AS43" s="96" t="n">
        <f aca="false">AR43-(AR43*0.05)</f>
        <v>3284.4530025</v>
      </c>
      <c r="AT43" s="96" t="n">
        <f aca="false">AS43</f>
        <v>3284.4530025</v>
      </c>
      <c r="AU43" s="97" t="n">
        <f aca="false">AT43</f>
        <v>3284.4530025</v>
      </c>
      <c r="AV43" s="96" t="n">
        <f aca="false">AV46/AV41</f>
        <v>3496.02910234615</v>
      </c>
    </row>
    <row r="44" customFormat="false" ht="3.75" hidden="false" customHeight="true" outlineLevel="0" collapsed="false">
      <c r="A44" s="62"/>
      <c r="B44" s="62"/>
      <c r="C44" s="62"/>
      <c r="D44" s="57"/>
      <c r="E44" s="101"/>
      <c r="F44" s="95"/>
      <c r="G44" s="95"/>
      <c r="H44" s="96"/>
      <c r="I44" s="96"/>
      <c r="J44" s="119"/>
      <c r="K44" s="119"/>
      <c r="L44" s="119"/>
      <c r="M44" s="119"/>
      <c r="N44" s="119"/>
      <c r="O44" s="119"/>
      <c r="P44" s="96"/>
      <c r="Q44" s="96"/>
      <c r="R44" s="96"/>
      <c r="S44" s="97"/>
      <c r="T44" s="96"/>
      <c r="U44" s="96"/>
      <c r="V44" s="96"/>
      <c r="W44" s="96"/>
      <c r="X44" s="96"/>
      <c r="Y44" s="96"/>
      <c r="Z44" s="96"/>
      <c r="AA44" s="96"/>
      <c r="AB44" s="96"/>
      <c r="AC44" s="96"/>
      <c r="AD44" s="96"/>
      <c r="AE44" s="96"/>
      <c r="AF44" s="96"/>
      <c r="AG44" s="97"/>
      <c r="AH44" s="96"/>
      <c r="AI44" s="96"/>
      <c r="AJ44" s="96"/>
      <c r="AK44" s="96"/>
      <c r="AL44" s="96"/>
      <c r="AM44" s="96"/>
      <c r="AN44" s="96"/>
      <c r="AO44" s="96"/>
      <c r="AP44" s="96"/>
      <c r="AQ44" s="96"/>
      <c r="AR44" s="96"/>
      <c r="AS44" s="96"/>
      <c r="AT44" s="96"/>
      <c r="AU44" s="97"/>
      <c r="AV44" s="96"/>
    </row>
    <row r="45" s="32" customFormat="true" ht="15.8" hidden="false" customHeight="false" outlineLevel="0" collapsed="false">
      <c r="B45" s="25" t="s">
        <v>96</v>
      </c>
      <c r="E45" s="102"/>
      <c r="F45" s="87"/>
      <c r="G45" s="87"/>
      <c r="H45" s="103" t="n">
        <f aca="false">H41*H42</f>
        <v>0</v>
      </c>
      <c r="I45" s="103" t="n">
        <f aca="false">I41*I42</f>
        <v>0</v>
      </c>
      <c r="J45" s="103" t="n">
        <f aca="false">J41*J42</f>
        <v>22249</v>
      </c>
      <c r="K45" s="103" t="n">
        <f aca="false">K41*K42</f>
        <v>22249</v>
      </c>
      <c r="L45" s="103" t="n">
        <f aca="false">L41*L42</f>
        <v>44498</v>
      </c>
      <c r="M45" s="103" t="n">
        <f aca="false">M41*M42</f>
        <v>66747</v>
      </c>
      <c r="N45" s="103" t="n">
        <f aca="false">N41*N42</f>
        <v>133494</v>
      </c>
      <c r="O45" s="103" t="n">
        <f aca="false">O41*O42</f>
        <v>111245</v>
      </c>
      <c r="P45" s="103" t="n">
        <f aca="false">P41*P42</f>
        <v>120144.6</v>
      </c>
      <c r="Q45" s="103" t="n">
        <f aca="false">Q41*Q42</f>
        <v>120144.6</v>
      </c>
      <c r="R45" s="103" t="n">
        <f aca="false">R41*R42</f>
        <v>160192.8</v>
      </c>
      <c r="S45" s="104" t="n">
        <f aca="false">S41*S42</f>
        <v>200241</v>
      </c>
      <c r="T45" s="103" t="n">
        <f aca="false">SUM(H45:S45)</f>
        <v>1001205</v>
      </c>
      <c r="U45" s="103"/>
      <c r="V45" s="103" t="n">
        <f aca="false">V41*V42</f>
        <v>360433.8</v>
      </c>
      <c r="W45" s="103" t="n">
        <f aca="false">W41*W42</f>
        <v>540650.7</v>
      </c>
      <c r="X45" s="103" t="n">
        <f aca="false">X41*X42</f>
        <v>901084.5</v>
      </c>
      <c r="Y45" s="103" t="n">
        <f aca="false">Y41*Y42</f>
        <v>973171.26</v>
      </c>
      <c r="Z45" s="103" t="n">
        <f aca="false">Z41*Z42</f>
        <v>1135366.47</v>
      </c>
      <c r="AA45" s="103" t="n">
        <f aca="false">AA41*AA42</f>
        <v>1216464.075</v>
      </c>
      <c r="AB45" s="103" t="n">
        <f aca="false">AB41*AB42</f>
        <v>1459756.89</v>
      </c>
      <c r="AC45" s="103" t="n">
        <f aca="false">AC41*AC42</f>
        <v>1459756.89</v>
      </c>
      <c r="AD45" s="103" t="n">
        <f aca="false">AD41*AD42</f>
        <v>1459756.89</v>
      </c>
      <c r="AE45" s="103" t="n">
        <f aca="false">AE41*AE42</f>
        <v>1605732.579</v>
      </c>
      <c r="AF45" s="103" t="n">
        <f aca="false">AF41*AF42</f>
        <v>1751708.268</v>
      </c>
      <c r="AG45" s="104" t="n">
        <f aca="false">AG41*AG42</f>
        <v>1824696.1125</v>
      </c>
      <c r="AH45" s="103" t="n">
        <f aca="false">SUM(V45:AG45)</f>
        <v>14688578.4345</v>
      </c>
      <c r="AI45" s="103"/>
      <c r="AJ45" s="103" t="n">
        <f aca="false">AJ41*AJ42</f>
        <v>1521220.338</v>
      </c>
      <c r="AK45" s="103" t="n">
        <f aca="false">AK41*AK42</f>
        <v>1521220.338</v>
      </c>
      <c r="AL45" s="103" t="n">
        <f aca="false">AL41*AL42</f>
        <v>1659513.096</v>
      </c>
      <c r="AM45" s="103" t="n">
        <f aca="false">AM41*AM42</f>
        <v>1936098.612</v>
      </c>
      <c r="AN45" s="103" t="n">
        <f aca="false">AN41*AN42</f>
        <v>1866952.233</v>
      </c>
      <c r="AO45" s="103" t="n">
        <f aca="false">AO41*AO42</f>
        <v>1991415.7152</v>
      </c>
      <c r="AP45" s="103" t="n">
        <f aca="false">AP41*AP42</f>
        <v>2115879.1974</v>
      </c>
      <c r="AQ45" s="103" t="n">
        <f aca="false">AQ41*AQ42</f>
        <v>2115879.1974</v>
      </c>
      <c r="AR45" s="103" t="n">
        <f aca="false">AR41*AR42</f>
        <v>2364806.1618</v>
      </c>
      <c r="AS45" s="103" t="n">
        <f aca="false">AS41*AS42</f>
        <v>2364806.1618</v>
      </c>
      <c r="AT45" s="103" t="n">
        <f aca="false">AT41*AT42</f>
        <v>2483046.46989</v>
      </c>
      <c r="AU45" s="104" t="n">
        <f aca="false">AU41*AU42</f>
        <v>2601286.77798</v>
      </c>
      <c r="AV45" s="103" t="n">
        <f aca="false">SUM(AJ45:AU45)</f>
        <v>24542124.29847</v>
      </c>
    </row>
    <row r="46" s="32" customFormat="true" ht="15.8" hidden="false" customHeight="false" outlineLevel="0" collapsed="false">
      <c r="B46" s="25" t="s">
        <v>97</v>
      </c>
      <c r="E46" s="102"/>
      <c r="F46" s="87"/>
      <c r="G46" s="87"/>
      <c r="H46" s="103" t="n">
        <f aca="false">H41*H43</f>
        <v>0</v>
      </c>
      <c r="I46" s="103" t="n">
        <f aca="false">I41*I43</f>
        <v>0</v>
      </c>
      <c r="J46" s="103" t="n">
        <f aca="false">J41*J43</f>
        <v>11710</v>
      </c>
      <c r="K46" s="103" t="n">
        <f aca="false">K41*K43</f>
        <v>11710</v>
      </c>
      <c r="L46" s="103" t="n">
        <f aca="false">L41*L43</f>
        <v>23420</v>
      </c>
      <c r="M46" s="103" t="n">
        <f aca="false">M41*M43</f>
        <v>35130</v>
      </c>
      <c r="N46" s="103" t="n">
        <f aca="false">N41*N43</f>
        <v>70260</v>
      </c>
      <c r="O46" s="103" t="n">
        <f aca="false">O41*O43</f>
        <v>58550</v>
      </c>
      <c r="P46" s="103" t="n">
        <f aca="false">P41*P43</f>
        <v>63234</v>
      </c>
      <c r="Q46" s="103" t="n">
        <f aca="false">Q41*Q43</f>
        <v>63234</v>
      </c>
      <c r="R46" s="103" t="n">
        <f aca="false">R41*R43</f>
        <v>84312</v>
      </c>
      <c r="S46" s="104" t="n">
        <f aca="false">S41*S43</f>
        <v>105390</v>
      </c>
      <c r="T46" s="103" t="n">
        <f aca="false">SUM(H46:S46)</f>
        <v>526950</v>
      </c>
      <c r="U46" s="103"/>
      <c r="V46" s="103" t="n">
        <f aca="false">V41*V43</f>
        <v>189702</v>
      </c>
      <c r="W46" s="103" t="n">
        <f aca="false">W41*W43</f>
        <v>284553</v>
      </c>
      <c r="X46" s="103" t="n">
        <f aca="false">X41*X43</f>
        <v>474255</v>
      </c>
      <c r="Y46" s="103" t="n">
        <f aca="false">Y41*Y43</f>
        <v>512195.4</v>
      </c>
      <c r="Z46" s="103" t="n">
        <f aca="false">Z41*Z43</f>
        <v>597561.3</v>
      </c>
      <c r="AA46" s="103" t="n">
        <f aca="false">AA41*AA43</f>
        <v>640244.25</v>
      </c>
      <c r="AB46" s="103" t="n">
        <f aca="false">AB41*AB43</f>
        <v>768293.1</v>
      </c>
      <c r="AC46" s="103" t="n">
        <f aca="false">AC41*AC43</f>
        <v>768293.1</v>
      </c>
      <c r="AD46" s="103" t="n">
        <f aca="false">AD41*AD43</f>
        <v>768293.1</v>
      </c>
      <c r="AE46" s="103" t="n">
        <f aca="false">AE41*AE43</f>
        <v>845122.41</v>
      </c>
      <c r="AF46" s="103" t="n">
        <f aca="false">AF41*AF43</f>
        <v>921951.72</v>
      </c>
      <c r="AG46" s="104" t="n">
        <f aca="false">AG41*AG43</f>
        <v>960366.375</v>
      </c>
      <c r="AH46" s="103" t="n">
        <f aca="false">SUM(V46:AG46)</f>
        <v>7730830.755</v>
      </c>
      <c r="AI46" s="103"/>
      <c r="AJ46" s="103" t="n">
        <f aca="false">AJ41*AJ43</f>
        <v>845122.41</v>
      </c>
      <c r="AK46" s="103" t="n">
        <f aca="false">AK41*AK43</f>
        <v>845122.41</v>
      </c>
      <c r="AL46" s="103" t="n">
        <f aca="false">AL41*AL43</f>
        <v>921951.72</v>
      </c>
      <c r="AM46" s="103" t="n">
        <f aca="false">AM41*AM43</f>
        <v>1075610.34</v>
      </c>
      <c r="AN46" s="103" t="n">
        <f aca="false">AN41*AN43</f>
        <v>1037195.685</v>
      </c>
      <c r="AO46" s="103" t="n">
        <f aca="false">AO41*AO43</f>
        <v>1106342.064</v>
      </c>
      <c r="AP46" s="103" t="n">
        <f aca="false">AP41*AP43</f>
        <v>1175488.443</v>
      </c>
      <c r="AQ46" s="103" t="n">
        <f aca="false">AQ41*AQ43</f>
        <v>1175488.443</v>
      </c>
      <c r="AR46" s="103" t="n">
        <f aca="false">AR41*AR43</f>
        <v>1313781.201</v>
      </c>
      <c r="AS46" s="103" t="n">
        <f aca="false">AS41*AS43</f>
        <v>1313781.201</v>
      </c>
      <c r="AT46" s="103" t="n">
        <f aca="false">AT41*AT43</f>
        <v>1379470.26105</v>
      </c>
      <c r="AU46" s="104" t="n">
        <f aca="false">AU41*AU43</f>
        <v>1445159.3211</v>
      </c>
      <c r="AV46" s="103" t="n">
        <f aca="false">SUM(AJ46:AU46)</f>
        <v>13634513.49915</v>
      </c>
    </row>
    <row r="47" s="32" customFormat="true" ht="15.8" hidden="false" customHeight="false" outlineLevel="0" collapsed="false">
      <c r="B47" s="25" t="s">
        <v>98</v>
      </c>
      <c r="E47" s="102"/>
      <c r="F47" s="87"/>
      <c r="G47" s="87"/>
      <c r="H47" s="103" t="n">
        <f aca="false">H45-H46</f>
        <v>0</v>
      </c>
      <c r="I47" s="103" t="n">
        <f aca="false">I45-I46</f>
        <v>0</v>
      </c>
      <c r="J47" s="103" t="n">
        <f aca="false">J45-J46</f>
        <v>10539</v>
      </c>
      <c r="K47" s="103" t="n">
        <f aca="false">K45-K46</f>
        <v>10539</v>
      </c>
      <c r="L47" s="103" t="n">
        <f aca="false">L45-L46</f>
        <v>21078</v>
      </c>
      <c r="M47" s="103" t="n">
        <f aca="false">M45-M46</f>
        <v>31617</v>
      </c>
      <c r="N47" s="103" t="n">
        <f aca="false">N45-N46</f>
        <v>63234</v>
      </c>
      <c r="O47" s="103" t="n">
        <f aca="false">O45-O46</f>
        <v>52695</v>
      </c>
      <c r="P47" s="103" t="n">
        <f aca="false">P45-P46</f>
        <v>56910.6</v>
      </c>
      <c r="Q47" s="103" t="n">
        <f aca="false">Q45-Q46</f>
        <v>56910.6</v>
      </c>
      <c r="R47" s="103" t="n">
        <f aca="false">R45-R46</f>
        <v>75880.8</v>
      </c>
      <c r="S47" s="104" t="n">
        <f aca="false">S45-S46</f>
        <v>94851</v>
      </c>
      <c r="T47" s="103" t="n">
        <f aca="false">SUM(H47:S47)</f>
        <v>474255</v>
      </c>
      <c r="U47" s="103"/>
      <c r="V47" s="103" t="n">
        <f aca="false">V45-V46</f>
        <v>170731.8</v>
      </c>
      <c r="W47" s="103" t="n">
        <f aca="false">W45-W46</f>
        <v>256097.7</v>
      </c>
      <c r="X47" s="103" t="n">
        <f aca="false">X45-X46</f>
        <v>426829.5</v>
      </c>
      <c r="Y47" s="103" t="n">
        <f aca="false">Y45-Y46</f>
        <v>460975.86</v>
      </c>
      <c r="Z47" s="103" t="n">
        <f aca="false">Z45-Z46</f>
        <v>537805.17</v>
      </c>
      <c r="AA47" s="103" t="n">
        <f aca="false">AA45-AA46</f>
        <v>576219.825</v>
      </c>
      <c r="AB47" s="103" t="n">
        <f aca="false">AB45-AB46</f>
        <v>691463.79</v>
      </c>
      <c r="AC47" s="103" t="n">
        <f aca="false">AC45-AC46</f>
        <v>691463.79</v>
      </c>
      <c r="AD47" s="103" t="n">
        <f aca="false">AD45-AD46</f>
        <v>691463.79</v>
      </c>
      <c r="AE47" s="103" t="n">
        <f aca="false">AE45-AE46</f>
        <v>760610.169</v>
      </c>
      <c r="AF47" s="103" t="n">
        <f aca="false">AF45-AF46</f>
        <v>829756.548</v>
      </c>
      <c r="AG47" s="104" t="n">
        <f aca="false">AG45-AG46</f>
        <v>864329.7375</v>
      </c>
      <c r="AH47" s="103" t="n">
        <f aca="false">SUM(V47:AG47)</f>
        <v>6957747.6795</v>
      </c>
      <c r="AI47" s="103"/>
      <c r="AJ47" s="103" t="n">
        <f aca="false">AJ45-AJ46</f>
        <v>676097.928</v>
      </c>
      <c r="AK47" s="103" t="n">
        <f aca="false">AK45-AK46</f>
        <v>676097.928</v>
      </c>
      <c r="AL47" s="103" t="n">
        <f aca="false">AL45-AL46</f>
        <v>737561.376</v>
      </c>
      <c r="AM47" s="103" t="n">
        <f aca="false">AM45-AM46</f>
        <v>860488.272</v>
      </c>
      <c r="AN47" s="103" t="n">
        <f aca="false">AN45-AN46</f>
        <v>829756.548</v>
      </c>
      <c r="AO47" s="103" t="n">
        <f aca="false">AO45-AO46</f>
        <v>885073.6512</v>
      </c>
      <c r="AP47" s="103" t="n">
        <f aca="false">AP45-AP46</f>
        <v>940390.7544</v>
      </c>
      <c r="AQ47" s="103" t="n">
        <f aca="false">AQ45-AQ46</f>
        <v>940390.7544</v>
      </c>
      <c r="AR47" s="103" t="n">
        <f aca="false">AR45-AR46</f>
        <v>1051024.9608</v>
      </c>
      <c r="AS47" s="103" t="n">
        <f aca="false">AS45-AS46</f>
        <v>1051024.9608</v>
      </c>
      <c r="AT47" s="103" t="n">
        <f aca="false">AT45-AT46</f>
        <v>1103576.20884</v>
      </c>
      <c r="AU47" s="104" t="n">
        <f aca="false">AU45-AU46</f>
        <v>1156127.45688</v>
      </c>
      <c r="AV47" s="103" t="n">
        <f aca="false">SUM(AJ47:AU47)</f>
        <v>10907610.79932</v>
      </c>
    </row>
    <row r="48" s="105" customFormat="true" ht="15.8" hidden="false" customHeight="false" outlineLevel="0" collapsed="false">
      <c r="B48" s="106" t="s">
        <v>99</v>
      </c>
      <c r="E48" s="107"/>
      <c r="F48" s="107"/>
      <c r="G48" s="107"/>
      <c r="H48" s="108" t="n">
        <f aca="false">IF(H45=0,0,(1-H46/H45))</f>
        <v>0</v>
      </c>
      <c r="I48" s="108" t="n">
        <f aca="false">IF(I45=0,0,(1-I46/I45))</f>
        <v>0</v>
      </c>
      <c r="J48" s="108" t="n">
        <f aca="false">IF(P45=0,0,(1-P46/P45))</f>
        <v>0.473684210526316</v>
      </c>
      <c r="K48" s="108" t="n">
        <f aca="false">IF(Q45=0,0,(1-Q46/Q45))</f>
        <v>0.473684210526316</v>
      </c>
      <c r="L48" s="108" t="n">
        <f aca="false">IF(R45=0,0,(1-R46/R45))</f>
        <v>0.473684210526316</v>
      </c>
      <c r="M48" s="108" t="n">
        <f aca="false">IF(S45=0,0,(1-S46/S45))</f>
        <v>0.473684210526316</v>
      </c>
      <c r="N48" s="108" t="n">
        <f aca="false">IF(V45=0,0,(1-V46/V45))</f>
        <v>0.473684210526316</v>
      </c>
      <c r="O48" s="108" t="n">
        <f aca="false">IF(W45=0,0,(1-W46/W45))</f>
        <v>0.473684210526316</v>
      </c>
      <c r="P48" s="108" t="n">
        <f aca="false">IF(X45=0,0,(1-X46/X45))</f>
        <v>0.473684210526316</v>
      </c>
      <c r="Q48" s="108" t="n">
        <f aca="false">IF(Y45=0,0,(1-Y46/Y45))</f>
        <v>0.473684210526316</v>
      </c>
      <c r="R48" s="108" t="n">
        <f aca="false">IF(Z45=0,0,(1-Z46/Z45))</f>
        <v>0.473684210526316</v>
      </c>
      <c r="S48" s="109" t="n">
        <f aca="false">IF(AA45=0,0,(1-AA46/AA45))</f>
        <v>0.473684210526316</v>
      </c>
      <c r="T48" s="108" t="n">
        <f aca="false">IF(T45=0,0,(1-T46/T45))</f>
        <v>0.473684210526316</v>
      </c>
      <c r="U48" s="108"/>
      <c r="V48" s="108" t="n">
        <f aca="false">IF(AB45=0,0,(1-AB46/AB45))</f>
        <v>0.473684210526316</v>
      </c>
      <c r="W48" s="108" t="n">
        <f aca="false">IF(AC45=0,0,(1-AC46/AC45))</f>
        <v>0.473684210526316</v>
      </c>
      <c r="X48" s="108" t="n">
        <f aca="false">IF(AD45=0,0,(1-AD46/AD45))</f>
        <v>0.473684210526316</v>
      </c>
      <c r="Y48" s="108" t="n">
        <f aca="false">IF(AE45=0,0,(1-AE46/AE45))</f>
        <v>0.473684210526316</v>
      </c>
      <c r="Z48" s="108" t="n">
        <f aca="false">IF(AF45=0,0,(1-AF46/AF45))</f>
        <v>0.473684210526316</v>
      </c>
      <c r="AA48" s="108" t="n">
        <f aca="false">IF(AG45=0,0,(1-AG46/AG45))</f>
        <v>0.473684210526316</v>
      </c>
      <c r="AB48" s="108" t="n">
        <f aca="false">IF(AJ45=0,0,(1-AJ46/AJ45))</f>
        <v>0.444444444444444</v>
      </c>
      <c r="AC48" s="108" t="n">
        <f aca="false">IF(AK45=0,0,(1-AK46/AK45))</f>
        <v>0.444444444444444</v>
      </c>
      <c r="AD48" s="108" t="n">
        <f aca="false">IF(AL45=0,0,(1-AL46/AL45))</f>
        <v>0.444444444444444</v>
      </c>
      <c r="AE48" s="108" t="n">
        <f aca="false">IF(AM45=0,0,(1-AM46/AM45))</f>
        <v>0.444444444444444</v>
      </c>
      <c r="AF48" s="108" t="n">
        <f aca="false">IF(AN45=0,0,(1-AN46/AN45))</f>
        <v>0.444444444444444</v>
      </c>
      <c r="AG48" s="109" t="n">
        <f aca="false">IF(AO45=0,0,(1-AO46/AO45))</f>
        <v>0.444444444444444</v>
      </c>
      <c r="AH48" s="108" t="n">
        <f aca="false">IF(AH45=0,0,(1-AH46/AH45))</f>
        <v>0.473684210526316</v>
      </c>
      <c r="AI48" s="108"/>
      <c r="AJ48" s="108" t="n">
        <f aca="false">IF(AP45=0,0,(1-AP46/AP45))</f>
        <v>0.444444444444444</v>
      </c>
      <c r="AK48" s="108" t="n">
        <f aca="false">IF(AQ45=0,0,(1-AQ46/AQ45))</f>
        <v>0.444444444444444</v>
      </c>
      <c r="AL48" s="108" t="n">
        <f aca="false">IF(AR45=0,0,(1-AR46/AR45))</f>
        <v>0.444444444444444</v>
      </c>
      <c r="AM48" s="108" t="n">
        <f aca="false">IF(AS45=0,0,(1-AS46/AS45))</f>
        <v>0.444444444444444</v>
      </c>
      <c r="AN48" s="108" t="n">
        <f aca="false">IF(AT45=0,0,(1-AT46/AT45))</f>
        <v>0.444444444444444</v>
      </c>
      <c r="AO48" s="108" t="n">
        <f aca="false">IF(AU45=0,0,(1-AU46/AU45))</f>
        <v>0.444444444444444</v>
      </c>
      <c r="AP48" s="108" t="n">
        <f aca="false">IF(AP45=0,0,(1-AP46/AP45))</f>
        <v>0.444444444444444</v>
      </c>
      <c r="AQ48" s="108" t="n">
        <f aca="false">IF(AQ45=0,0,(1-AQ46/AQ45))</f>
        <v>0.444444444444444</v>
      </c>
      <c r="AR48" s="108" t="n">
        <f aca="false">IF(AR45=0,0,(1-AR46/AR45))</f>
        <v>0.444444444444444</v>
      </c>
      <c r="AS48" s="108" t="n">
        <f aca="false">IF(AS45=0,0,(1-AS46/AS45))</f>
        <v>0.444444444444444</v>
      </c>
      <c r="AT48" s="108" t="n">
        <f aca="false">IF(AT45=0,0,(1-AT46/AT45))</f>
        <v>0.444444444444444</v>
      </c>
      <c r="AU48" s="109" t="n">
        <f aca="false">IF(AU45=0,0,(1-AU46/AU45))</f>
        <v>0.444444444444444</v>
      </c>
      <c r="AV48" s="108" t="n">
        <f aca="false">IF(AV45=0,0,(1-AV46/AV45))</f>
        <v>0.444444444444444</v>
      </c>
    </row>
    <row r="49" s="105" customFormat="true" ht="15.8" hidden="false" customHeight="false" outlineLevel="0" collapsed="false">
      <c r="A49" s="110"/>
      <c r="B49" s="111" t="s">
        <v>100</v>
      </c>
      <c r="C49" s="110"/>
      <c r="D49" s="110"/>
      <c r="E49" s="112"/>
      <c r="F49" s="112"/>
      <c r="G49" s="112"/>
      <c r="H49" s="113" t="n">
        <f aca="false">H41*0.9*300</f>
        <v>0</v>
      </c>
      <c r="I49" s="113" t="n">
        <f aca="false">I41*0.9*300</f>
        <v>0</v>
      </c>
      <c r="J49" s="113" t="n">
        <f aca="false">J41*0.9*300</f>
        <v>540</v>
      </c>
      <c r="K49" s="113" t="n">
        <f aca="false">K41*0.9*300</f>
        <v>540</v>
      </c>
      <c r="L49" s="113" t="n">
        <f aca="false">L41*0.9*300</f>
        <v>1080</v>
      </c>
      <c r="M49" s="113" t="n">
        <f aca="false">M41*0.9*300</f>
        <v>1620</v>
      </c>
      <c r="N49" s="113" t="n">
        <f aca="false">N41*0.9*300</f>
        <v>3240</v>
      </c>
      <c r="O49" s="113" t="n">
        <f aca="false">O41*0.9*300</f>
        <v>2700</v>
      </c>
      <c r="P49" s="113" t="n">
        <f aca="false">P41*0.9*300</f>
        <v>3240</v>
      </c>
      <c r="Q49" s="113" t="n">
        <f aca="false">Q41*0.9*300</f>
        <v>3240</v>
      </c>
      <c r="R49" s="113" t="n">
        <f aca="false">R41*0.9*300</f>
        <v>4320</v>
      </c>
      <c r="S49" s="114" t="n">
        <f aca="false">S41*0.9*300</f>
        <v>5400</v>
      </c>
      <c r="T49" s="113" t="n">
        <f aca="false">SUM(H49:S49)</f>
        <v>25920</v>
      </c>
      <c r="U49" s="108"/>
      <c r="V49" s="113" t="n">
        <f aca="false">V41*0.9*300</f>
        <v>10800</v>
      </c>
      <c r="W49" s="113" t="n">
        <f aca="false">W41*0.9*300</f>
        <v>16200</v>
      </c>
      <c r="X49" s="113" t="n">
        <f aca="false">X41*0.9*300</f>
        <v>27000</v>
      </c>
      <c r="Y49" s="113" t="n">
        <f aca="false">Y41*0.9*300</f>
        <v>32400</v>
      </c>
      <c r="Z49" s="113" t="n">
        <f aca="false">Z41*0.9*300</f>
        <v>37800</v>
      </c>
      <c r="AA49" s="113" t="n">
        <f aca="false">AA41*0.9*300</f>
        <v>40500</v>
      </c>
      <c r="AB49" s="113" t="n">
        <f aca="false">AB41*0.9*300</f>
        <v>48600</v>
      </c>
      <c r="AC49" s="113" t="n">
        <f aca="false">AC41*0.9*300</f>
        <v>48600</v>
      </c>
      <c r="AD49" s="113" t="n">
        <f aca="false">AD41*0.9*300</f>
        <v>54000</v>
      </c>
      <c r="AE49" s="113" t="n">
        <f aca="false">AE41*0.9*300</f>
        <v>59400</v>
      </c>
      <c r="AF49" s="113" t="n">
        <f aca="false">AF41*0.9*300</f>
        <v>64800</v>
      </c>
      <c r="AG49" s="114" t="n">
        <f aca="false">AG41*0.9*300</f>
        <v>67500</v>
      </c>
      <c r="AH49" s="113" t="n">
        <f aca="false">SUM(V49:AG49)</f>
        <v>507600</v>
      </c>
      <c r="AI49" s="108"/>
      <c r="AJ49" s="113" t="n">
        <f aca="false">AJ41*0.9*300</f>
        <v>59400</v>
      </c>
      <c r="AK49" s="113" t="n">
        <f aca="false">AK41*0.9*300</f>
        <v>59400</v>
      </c>
      <c r="AL49" s="113" t="n">
        <f aca="false">AL41*0.9*300</f>
        <v>64800</v>
      </c>
      <c r="AM49" s="113" t="n">
        <f aca="false">AM41*0.9*300</f>
        <v>75600</v>
      </c>
      <c r="AN49" s="113" t="n">
        <f aca="false">AN41*0.9*300</f>
        <v>81000</v>
      </c>
      <c r="AO49" s="113" t="n">
        <f aca="false">AO41*0.9*300</f>
        <v>86400</v>
      </c>
      <c r="AP49" s="113" t="n">
        <f aca="false">AP41*0.9*300</f>
        <v>91800</v>
      </c>
      <c r="AQ49" s="113" t="n">
        <f aca="false">AQ41*0.9*300</f>
        <v>91800</v>
      </c>
      <c r="AR49" s="113" t="n">
        <f aca="false">AR41*0.9*300</f>
        <v>102600</v>
      </c>
      <c r="AS49" s="113" t="n">
        <f aca="false">AS41*0.9*300</f>
        <v>108000</v>
      </c>
      <c r="AT49" s="113" t="n">
        <f aca="false">AT41*0.9*300</f>
        <v>113400</v>
      </c>
      <c r="AU49" s="114" t="n">
        <f aca="false">AU41*0.9*300</f>
        <v>118800</v>
      </c>
      <c r="AV49" s="113" t="n">
        <f aca="false">SUM(AJ49:AU49)</f>
        <v>1053000</v>
      </c>
    </row>
    <row r="50" s="105" customFormat="true" ht="15.8" hidden="false" customHeight="false" outlineLevel="0" collapsed="false">
      <c r="A50" s="110"/>
      <c r="B50" s="111" t="s">
        <v>101</v>
      </c>
      <c r="C50" s="110"/>
      <c r="D50" s="110"/>
      <c r="E50" s="112"/>
      <c r="F50" s="112"/>
      <c r="G50" s="112"/>
      <c r="H50" s="113" t="n">
        <f aca="false">H49*1.1</f>
        <v>0</v>
      </c>
      <c r="I50" s="113" t="n">
        <f aca="false">I49*1.1</f>
        <v>0</v>
      </c>
      <c r="J50" s="113" t="n">
        <f aca="false">J49*1.1</f>
        <v>594</v>
      </c>
      <c r="K50" s="113" t="n">
        <f aca="false">K49*1.1</f>
        <v>594</v>
      </c>
      <c r="L50" s="113" t="n">
        <f aca="false">L49*1.1</f>
        <v>1188</v>
      </c>
      <c r="M50" s="113" t="n">
        <f aca="false">M49*1.1</f>
        <v>1782</v>
      </c>
      <c r="N50" s="113" t="n">
        <f aca="false">N49*1.1</f>
        <v>3564</v>
      </c>
      <c r="O50" s="113" t="n">
        <f aca="false">O49*1</f>
        <v>2700</v>
      </c>
      <c r="P50" s="113" t="n">
        <f aca="false">P49*1</f>
        <v>3240</v>
      </c>
      <c r="Q50" s="113" t="n">
        <f aca="false">Q49*1</f>
        <v>3240</v>
      </c>
      <c r="R50" s="113" t="n">
        <f aca="false">R49*1</f>
        <v>4320</v>
      </c>
      <c r="S50" s="114" t="n">
        <f aca="false">S49*0.9</f>
        <v>4860</v>
      </c>
      <c r="T50" s="113" t="n">
        <f aca="false">SUM(H50:S50)</f>
        <v>26082</v>
      </c>
      <c r="U50" s="108"/>
      <c r="V50" s="113" t="n">
        <f aca="false">V49*0.55</f>
        <v>5940</v>
      </c>
      <c r="W50" s="113" t="n">
        <f aca="false">W49*0.55</f>
        <v>8910</v>
      </c>
      <c r="X50" s="113" t="n">
        <f aca="false">X49*0.55</f>
        <v>14850</v>
      </c>
      <c r="Y50" s="113" t="n">
        <f aca="false">Y49*0.55</f>
        <v>17820</v>
      </c>
      <c r="Z50" s="113" t="n">
        <f aca="false">Z49*0.55</f>
        <v>20790</v>
      </c>
      <c r="AA50" s="113" t="n">
        <f aca="false">AA49*0.55</f>
        <v>22275</v>
      </c>
      <c r="AB50" s="113" t="n">
        <f aca="false">AB49*0.55</f>
        <v>26730</v>
      </c>
      <c r="AC50" s="113" t="n">
        <f aca="false">AC49*0.55</f>
        <v>26730</v>
      </c>
      <c r="AD50" s="113" t="n">
        <f aca="false">AD49*0.55</f>
        <v>29700</v>
      </c>
      <c r="AE50" s="113" t="n">
        <f aca="false">AE49*0.55</f>
        <v>32670</v>
      </c>
      <c r="AF50" s="113" t="n">
        <f aca="false">AF49*0.55</f>
        <v>35640</v>
      </c>
      <c r="AG50" s="114" t="n">
        <f aca="false">AG49*0.55</f>
        <v>37125</v>
      </c>
      <c r="AH50" s="113" t="n">
        <f aca="false">SUM(V50:AG50)</f>
        <v>279180</v>
      </c>
      <c r="AI50" s="108"/>
      <c r="AJ50" s="113" t="n">
        <f aca="false">AJ49*0.55</f>
        <v>32670</v>
      </c>
      <c r="AK50" s="113" t="n">
        <f aca="false">AK49*0.55</f>
        <v>32670</v>
      </c>
      <c r="AL50" s="113" t="n">
        <f aca="false">AL49*0.55</f>
        <v>35640</v>
      </c>
      <c r="AM50" s="113" t="n">
        <f aca="false">AM49*0.55</f>
        <v>41580</v>
      </c>
      <c r="AN50" s="113" t="n">
        <f aca="false">AN49*0.55</f>
        <v>44550</v>
      </c>
      <c r="AO50" s="113" t="n">
        <f aca="false">AO49*0.55</f>
        <v>47520</v>
      </c>
      <c r="AP50" s="113" t="n">
        <f aca="false">AP49*0.55</f>
        <v>50490</v>
      </c>
      <c r="AQ50" s="113" t="n">
        <f aca="false">AQ49*0.55</f>
        <v>50490</v>
      </c>
      <c r="AR50" s="113" t="n">
        <f aca="false">AR49*0.55</f>
        <v>56430</v>
      </c>
      <c r="AS50" s="113" t="n">
        <f aca="false">AS49*0.55</f>
        <v>59400</v>
      </c>
      <c r="AT50" s="113" t="n">
        <f aca="false">AT49*0.55</f>
        <v>62370</v>
      </c>
      <c r="AU50" s="114" t="n">
        <f aca="false">AU49*0.55</f>
        <v>65340</v>
      </c>
      <c r="AV50" s="113" t="n">
        <f aca="false">SUM(AJ50:AU50)</f>
        <v>579150</v>
      </c>
    </row>
    <row r="51" s="105" customFormat="true" ht="15.8" hidden="false" customHeight="false" outlineLevel="0" collapsed="false">
      <c r="A51" s="110"/>
      <c r="B51" s="111"/>
      <c r="C51" s="110"/>
      <c r="D51" s="110"/>
      <c r="E51" s="112"/>
      <c r="F51" s="112"/>
      <c r="G51" s="112"/>
      <c r="H51" s="113"/>
      <c r="I51" s="113"/>
      <c r="J51" s="113"/>
      <c r="K51" s="113"/>
      <c r="L51" s="113"/>
      <c r="M51" s="113"/>
      <c r="N51" s="113"/>
      <c r="O51" s="113"/>
      <c r="P51" s="113"/>
      <c r="Q51" s="113"/>
      <c r="R51" s="113"/>
      <c r="S51" s="114"/>
      <c r="T51" s="113"/>
      <c r="U51" s="108"/>
      <c r="V51" s="113"/>
      <c r="W51" s="113"/>
      <c r="X51" s="113"/>
      <c r="Y51" s="113"/>
      <c r="Z51" s="113"/>
      <c r="AA51" s="113"/>
      <c r="AB51" s="113"/>
      <c r="AC51" s="113"/>
      <c r="AD51" s="113"/>
      <c r="AE51" s="113"/>
      <c r="AF51" s="113"/>
      <c r="AG51" s="114"/>
      <c r="AH51" s="113"/>
      <c r="AI51" s="108"/>
      <c r="AJ51" s="113"/>
      <c r="AK51" s="113"/>
      <c r="AL51" s="113"/>
      <c r="AM51" s="113"/>
      <c r="AN51" s="113"/>
      <c r="AO51" s="113"/>
      <c r="AP51" s="113"/>
      <c r="AQ51" s="113"/>
      <c r="AR51" s="113"/>
      <c r="AS51" s="113"/>
      <c r="AT51" s="113"/>
      <c r="AU51" s="114"/>
      <c r="AV51" s="113"/>
    </row>
    <row r="52" customFormat="false" ht="15.8" hidden="false" customHeight="false" outlineLevel="0" collapsed="false">
      <c r="A52" s="91" t="s">
        <v>105</v>
      </c>
      <c r="B52" s="91"/>
      <c r="C52" s="91"/>
      <c r="D52" s="91"/>
      <c r="E52" s="88"/>
      <c r="F52" s="88"/>
      <c r="G52" s="88"/>
      <c r="H52" s="57"/>
      <c r="I52" s="57"/>
      <c r="J52" s="57"/>
      <c r="K52" s="57"/>
      <c r="L52" s="57"/>
      <c r="M52" s="57"/>
      <c r="N52" s="57"/>
      <c r="O52" s="57"/>
      <c r="P52" s="57"/>
      <c r="Q52" s="57"/>
      <c r="R52" s="57"/>
      <c r="S52" s="89"/>
      <c r="T52" s="57"/>
      <c r="U52" s="57"/>
      <c r="V52" s="57"/>
      <c r="W52" s="57"/>
      <c r="X52" s="57"/>
      <c r="Y52" s="57"/>
      <c r="Z52" s="57"/>
      <c r="AA52" s="57"/>
      <c r="AB52" s="57"/>
      <c r="AC52" s="57"/>
      <c r="AD52" s="57"/>
      <c r="AE52" s="57"/>
      <c r="AF52" s="57"/>
      <c r="AG52" s="89"/>
      <c r="AH52" s="57"/>
      <c r="AI52" s="57"/>
      <c r="AJ52" s="57"/>
      <c r="AK52" s="57"/>
      <c r="AL52" s="57"/>
      <c r="AM52" s="57"/>
      <c r="AN52" s="57"/>
      <c r="AO52" s="57"/>
      <c r="AP52" s="57"/>
      <c r="AQ52" s="57"/>
      <c r="AR52" s="57"/>
      <c r="AS52" s="57"/>
      <c r="AT52" s="57"/>
      <c r="AU52" s="89"/>
      <c r="AV52" s="57"/>
    </row>
    <row r="53" customFormat="false" ht="15.8" hidden="false" customHeight="false" outlineLevel="0" collapsed="false">
      <c r="A53" s="91"/>
      <c r="B53" s="91" t="s">
        <v>106</v>
      </c>
      <c r="C53" s="91"/>
      <c r="D53" s="91"/>
      <c r="E53" s="88"/>
      <c r="F53" s="88"/>
      <c r="G53" s="88"/>
      <c r="H53" s="57" t="n">
        <v>0</v>
      </c>
      <c r="I53" s="57" t="n">
        <v>1</v>
      </c>
      <c r="J53" s="57" t="n">
        <v>0</v>
      </c>
      <c r="K53" s="57" t="n">
        <v>1</v>
      </c>
      <c r="L53" s="57" t="n">
        <v>0</v>
      </c>
      <c r="M53" s="57" t="n">
        <v>0</v>
      </c>
      <c r="N53" s="116" t="n">
        <v>2</v>
      </c>
      <c r="O53" s="116" t="n">
        <v>0</v>
      </c>
      <c r="P53" s="57" t="n">
        <v>0</v>
      </c>
      <c r="Q53" s="57" t="n">
        <v>4</v>
      </c>
      <c r="R53" s="57" t="n">
        <v>2</v>
      </c>
      <c r="S53" s="89" t="n">
        <v>2</v>
      </c>
      <c r="T53" s="57" t="n">
        <f aca="false">SUM(H53:S53)</f>
        <v>12</v>
      </c>
      <c r="U53" s="57"/>
      <c r="V53" s="92" t="n">
        <v>20</v>
      </c>
      <c r="W53" s="92" t="n">
        <v>4</v>
      </c>
      <c r="X53" s="92" t="n">
        <v>2</v>
      </c>
      <c r="Y53" s="92" t="n">
        <v>10</v>
      </c>
      <c r="Z53" s="92" t="n">
        <v>4</v>
      </c>
      <c r="AA53" s="92" t="n">
        <v>10</v>
      </c>
      <c r="AB53" s="92" t="n">
        <v>4</v>
      </c>
      <c r="AC53" s="92" t="n">
        <v>10</v>
      </c>
      <c r="AD53" s="92" t="n">
        <v>10</v>
      </c>
      <c r="AE53" s="92" t="n">
        <v>15</v>
      </c>
      <c r="AF53" s="92" t="n">
        <v>20</v>
      </c>
      <c r="AG53" s="93" t="n">
        <v>20</v>
      </c>
      <c r="AH53" s="92" t="n">
        <f aca="false">SUM(V53:AG53)</f>
        <v>129</v>
      </c>
      <c r="AI53" s="57"/>
      <c r="AJ53" s="92" t="n">
        <v>20</v>
      </c>
      <c r="AK53" s="92" t="n">
        <v>30</v>
      </c>
      <c r="AL53" s="92" t="n">
        <v>10</v>
      </c>
      <c r="AM53" s="92" t="n">
        <v>15</v>
      </c>
      <c r="AN53" s="92" t="n">
        <v>20</v>
      </c>
      <c r="AO53" s="92" t="n">
        <v>10</v>
      </c>
      <c r="AP53" s="92" t="n">
        <v>10</v>
      </c>
      <c r="AQ53" s="92" t="n">
        <v>10</v>
      </c>
      <c r="AR53" s="92" t="n">
        <v>10</v>
      </c>
      <c r="AS53" s="92" t="n">
        <v>10</v>
      </c>
      <c r="AT53" s="92" t="n">
        <v>10</v>
      </c>
      <c r="AU53" s="93" t="n">
        <v>10</v>
      </c>
      <c r="AV53" s="92" t="n">
        <f aca="false">SUM(AJ53:AU53)</f>
        <v>165</v>
      </c>
    </row>
    <row r="54" customFormat="false" ht="15.8" hidden="false" customHeight="false" outlineLevel="0" collapsed="false">
      <c r="A54" s="62"/>
      <c r="B54" s="62" t="s">
        <v>107</v>
      </c>
      <c r="C54" s="62"/>
      <c r="D54" s="57"/>
      <c r="E54" s="94"/>
      <c r="F54" s="95"/>
      <c r="G54" s="95"/>
      <c r="H54" s="96" t="n">
        <v>1000</v>
      </c>
      <c r="I54" s="96" t="n">
        <v>1000</v>
      </c>
      <c r="J54" s="96" t="n">
        <f aca="false">I54</f>
        <v>1000</v>
      </c>
      <c r="K54" s="96" t="n">
        <f aca="false">J54</f>
        <v>1000</v>
      </c>
      <c r="L54" s="96" t="n">
        <f aca="false">K54</f>
        <v>1000</v>
      </c>
      <c r="M54" s="96" t="n">
        <f aca="false">L54</f>
        <v>1000</v>
      </c>
      <c r="N54" s="96" t="n">
        <f aca="false">M54</f>
        <v>1000</v>
      </c>
      <c r="O54" s="96" t="n">
        <f aca="false">N54</f>
        <v>1000</v>
      </c>
      <c r="P54" s="96" t="n">
        <f aca="false">O54</f>
        <v>1000</v>
      </c>
      <c r="Q54" s="96" t="n">
        <f aca="false">P54</f>
        <v>1000</v>
      </c>
      <c r="R54" s="96" t="n">
        <f aca="false">Q54</f>
        <v>1000</v>
      </c>
      <c r="S54" s="97" t="n">
        <f aca="false">R54</f>
        <v>1000</v>
      </c>
      <c r="T54" s="96" t="n">
        <f aca="false">SUM(H54:S54)/12</f>
        <v>1000</v>
      </c>
      <c r="U54" s="96"/>
      <c r="V54" s="96" t="n">
        <v>1000</v>
      </c>
      <c r="W54" s="96" t="n">
        <f aca="false">V54</f>
        <v>1000</v>
      </c>
      <c r="X54" s="96" t="n">
        <f aca="false">W54</f>
        <v>1000</v>
      </c>
      <c r="Y54" s="96" t="n">
        <v>1500</v>
      </c>
      <c r="Z54" s="96" t="n">
        <f aca="false">Y54</f>
        <v>1500</v>
      </c>
      <c r="AA54" s="96" t="n">
        <f aca="false">Z54</f>
        <v>1500</v>
      </c>
      <c r="AB54" s="96" t="n">
        <f aca="false">AA54</f>
        <v>1500</v>
      </c>
      <c r="AC54" s="96" t="n">
        <f aca="false">AB54</f>
        <v>1500</v>
      </c>
      <c r="AD54" s="96" t="n">
        <f aca="false">AC54</f>
        <v>1500</v>
      </c>
      <c r="AE54" s="96" t="n">
        <f aca="false">AD54</f>
        <v>1500</v>
      </c>
      <c r="AF54" s="96" t="n">
        <f aca="false">AE54</f>
        <v>1500</v>
      </c>
      <c r="AG54" s="97" t="n">
        <f aca="false">AF54</f>
        <v>1500</v>
      </c>
      <c r="AH54" s="96" t="n">
        <f aca="false">SUM(V54:AG54)/12</f>
        <v>1375</v>
      </c>
      <c r="AI54" s="96"/>
      <c r="AJ54" s="96" t="n">
        <v>2000</v>
      </c>
      <c r="AK54" s="96" t="n">
        <f aca="false">AJ54</f>
        <v>2000</v>
      </c>
      <c r="AL54" s="96" t="n">
        <f aca="false">AK54</f>
        <v>2000</v>
      </c>
      <c r="AM54" s="96" t="n">
        <f aca="false">AL54</f>
        <v>2000</v>
      </c>
      <c r="AN54" s="96" t="n">
        <f aca="false">AM54</f>
        <v>2000</v>
      </c>
      <c r="AO54" s="96" t="n">
        <f aca="false">AN54</f>
        <v>2000</v>
      </c>
      <c r="AP54" s="96" t="n">
        <f aca="false">AO54</f>
        <v>2000</v>
      </c>
      <c r="AQ54" s="96" t="n">
        <f aca="false">AP54</f>
        <v>2000</v>
      </c>
      <c r="AR54" s="96" t="n">
        <f aca="false">AQ54</f>
        <v>2000</v>
      </c>
      <c r="AS54" s="96" t="n">
        <f aca="false">AR54</f>
        <v>2000</v>
      </c>
      <c r="AT54" s="96" t="n">
        <f aca="false">AS54</f>
        <v>2000</v>
      </c>
      <c r="AU54" s="97" t="n">
        <f aca="false">AT54</f>
        <v>2000</v>
      </c>
      <c r="AV54" s="96" t="n">
        <f aca="false">SUM(AJ54:AU54)/12</f>
        <v>2000</v>
      </c>
    </row>
    <row r="55" customFormat="false" ht="15.8" hidden="false" customHeight="false" outlineLevel="0" collapsed="false">
      <c r="A55" s="62"/>
      <c r="B55" s="62" t="s">
        <v>108</v>
      </c>
      <c r="C55" s="62"/>
      <c r="D55" s="57"/>
      <c r="E55" s="100"/>
      <c r="F55" s="95"/>
      <c r="G55" s="95"/>
      <c r="H55" s="96" t="n">
        <v>0</v>
      </c>
      <c r="I55" s="96" t="n">
        <v>5000</v>
      </c>
      <c r="J55" s="96" t="n">
        <v>0</v>
      </c>
      <c r="K55" s="118" t="n">
        <f aca="false">J55</f>
        <v>0</v>
      </c>
      <c r="L55" s="118" t="n">
        <v>200</v>
      </c>
      <c r="M55" s="118" t="n">
        <f aca="false">L55</f>
        <v>200</v>
      </c>
      <c r="N55" s="118" t="n">
        <f aca="false">M55</f>
        <v>200</v>
      </c>
      <c r="O55" s="118" t="n">
        <f aca="false">N55</f>
        <v>200</v>
      </c>
      <c r="P55" s="118" t="n">
        <f aca="false">O55</f>
        <v>200</v>
      </c>
      <c r="Q55" s="118" t="n">
        <f aca="false">P55</f>
        <v>200</v>
      </c>
      <c r="R55" s="96" t="n">
        <v>10000</v>
      </c>
      <c r="S55" s="97" t="n">
        <v>400</v>
      </c>
      <c r="T55" s="96" t="n">
        <f aca="false">SUM(M55:S55)</f>
        <v>11400</v>
      </c>
      <c r="U55" s="96"/>
      <c r="V55" s="96" t="n">
        <v>15000</v>
      </c>
      <c r="W55" s="96" t="n">
        <v>1000</v>
      </c>
      <c r="X55" s="96" t="n">
        <v>1000</v>
      </c>
      <c r="Y55" s="96" t="n">
        <v>10000</v>
      </c>
      <c r="Z55" s="96" t="n">
        <v>1000</v>
      </c>
      <c r="AA55" s="96" t="n">
        <f aca="false">Z55</f>
        <v>1000</v>
      </c>
      <c r="AB55" s="96" t="n">
        <f aca="false">AA55</f>
        <v>1000</v>
      </c>
      <c r="AC55" s="96" t="n">
        <v>20000</v>
      </c>
      <c r="AD55" s="96" t="n">
        <v>2000</v>
      </c>
      <c r="AE55" s="96" t="n">
        <v>2000</v>
      </c>
      <c r="AF55" s="96" t="n">
        <v>30000</v>
      </c>
      <c r="AG55" s="97" t="n">
        <v>2000</v>
      </c>
      <c r="AH55" s="125" t="n">
        <f aca="false">SUM(V55:AG55)</f>
        <v>86000</v>
      </c>
      <c r="AI55" s="96"/>
      <c r="AJ55" s="96" t="n">
        <v>2000</v>
      </c>
      <c r="AK55" s="96" t="n">
        <v>15000</v>
      </c>
      <c r="AL55" s="96" t="n">
        <v>20000</v>
      </c>
      <c r="AM55" s="96" t="n">
        <v>2000</v>
      </c>
      <c r="AN55" s="96" t="n">
        <v>35000</v>
      </c>
      <c r="AO55" s="96" t="n">
        <v>2000</v>
      </c>
      <c r="AP55" s="96" t="n">
        <v>15000</v>
      </c>
      <c r="AQ55" s="96" t="n">
        <v>2000</v>
      </c>
      <c r="AR55" s="96" t="n">
        <v>40000</v>
      </c>
      <c r="AS55" s="96" t="n">
        <v>3000</v>
      </c>
      <c r="AT55" s="96" t="n">
        <v>20000</v>
      </c>
      <c r="AU55" s="97" t="n">
        <v>15000</v>
      </c>
      <c r="AV55" s="125" t="n">
        <f aca="false">SUM(AJ55:AU55)</f>
        <v>171000</v>
      </c>
    </row>
    <row r="56" customFormat="false" ht="3.75" hidden="false" customHeight="true" outlineLevel="0" collapsed="false">
      <c r="A56" s="62"/>
      <c r="B56" s="62"/>
      <c r="C56" s="62"/>
      <c r="D56" s="57"/>
      <c r="E56" s="101"/>
      <c r="F56" s="95"/>
      <c r="G56" s="95"/>
      <c r="H56" s="96"/>
      <c r="I56" s="96"/>
      <c r="J56" s="119"/>
      <c r="K56" s="119"/>
      <c r="L56" s="119"/>
      <c r="M56" s="119"/>
      <c r="N56" s="119"/>
      <c r="O56" s="119"/>
      <c r="P56" s="96"/>
      <c r="Q56" s="96"/>
      <c r="R56" s="96"/>
      <c r="S56" s="97"/>
      <c r="T56" s="96"/>
      <c r="U56" s="96"/>
      <c r="V56" s="96"/>
      <c r="W56" s="96"/>
      <c r="X56" s="96"/>
      <c r="Y56" s="96"/>
      <c r="Z56" s="96"/>
      <c r="AA56" s="96"/>
      <c r="AB56" s="96"/>
      <c r="AC56" s="96"/>
      <c r="AD56" s="96"/>
      <c r="AE56" s="96"/>
      <c r="AF56" s="96"/>
      <c r="AG56" s="97"/>
      <c r="AH56" s="96"/>
      <c r="AI56" s="96"/>
      <c r="AJ56" s="96"/>
      <c r="AK56" s="96"/>
      <c r="AL56" s="96"/>
      <c r="AM56" s="96"/>
      <c r="AN56" s="96"/>
      <c r="AO56" s="96"/>
      <c r="AP56" s="96"/>
      <c r="AQ56" s="96"/>
      <c r="AR56" s="96"/>
      <c r="AS56" s="96"/>
      <c r="AT56" s="96"/>
      <c r="AU56" s="97"/>
      <c r="AV56" s="96"/>
    </row>
    <row r="57" s="32" customFormat="true" ht="15.8" hidden="false" customHeight="false" outlineLevel="0" collapsed="false">
      <c r="B57" s="25" t="s">
        <v>96</v>
      </c>
      <c r="E57" s="102"/>
      <c r="F57" s="87"/>
      <c r="G57" s="87"/>
      <c r="H57" s="103" t="n">
        <f aca="false">H53*H54</f>
        <v>0</v>
      </c>
      <c r="I57" s="103" t="n">
        <f aca="false">H57+I53*I54</f>
        <v>1000</v>
      </c>
      <c r="J57" s="103" t="n">
        <f aca="false">I57+J53*J54</f>
        <v>1000</v>
      </c>
      <c r="K57" s="103" t="n">
        <f aca="false">J57+K53*K54</f>
        <v>2000</v>
      </c>
      <c r="L57" s="103" t="n">
        <f aca="false">K57+L53*L54</f>
        <v>2000</v>
      </c>
      <c r="M57" s="103" t="n">
        <f aca="false">L57+M53*M54</f>
        <v>2000</v>
      </c>
      <c r="N57" s="103" t="n">
        <f aca="false">M57+N53*N54</f>
        <v>4000</v>
      </c>
      <c r="O57" s="103" t="n">
        <f aca="false">N57+O53*O54</f>
        <v>4000</v>
      </c>
      <c r="P57" s="103" t="n">
        <f aca="false">O57+P53*P54</f>
        <v>4000</v>
      </c>
      <c r="Q57" s="103" t="n">
        <f aca="false">P57+Q53*Q54</f>
        <v>8000</v>
      </c>
      <c r="R57" s="103" t="n">
        <f aca="false">Q57+R53*R54</f>
        <v>10000</v>
      </c>
      <c r="S57" s="104" t="n">
        <f aca="false">R57+S53*S54</f>
        <v>12000</v>
      </c>
      <c r="T57" s="103" t="n">
        <f aca="false">SUM(H57:S57)</f>
        <v>50000</v>
      </c>
      <c r="U57" s="103"/>
      <c r="V57" s="103" t="n">
        <f aca="false">S57+V53*V54</f>
        <v>32000</v>
      </c>
      <c r="W57" s="103" t="n">
        <f aca="false">V57+W53*W54</f>
        <v>36000</v>
      </c>
      <c r="X57" s="103" t="n">
        <f aca="false">W57+X53*X54</f>
        <v>38000</v>
      </c>
      <c r="Y57" s="103" t="n">
        <f aca="false">X57+Y53*Y54</f>
        <v>53000</v>
      </c>
      <c r="Z57" s="103" t="n">
        <f aca="false">Y57+Z53*Z54</f>
        <v>59000</v>
      </c>
      <c r="AA57" s="103" t="n">
        <f aca="false">Z57+AA53*AA54</f>
        <v>74000</v>
      </c>
      <c r="AB57" s="103" t="n">
        <f aca="false">AA57+AB53*AB54</f>
        <v>80000</v>
      </c>
      <c r="AC57" s="103" t="n">
        <f aca="false">AB57+AC53*AC54</f>
        <v>95000</v>
      </c>
      <c r="AD57" s="103" t="n">
        <f aca="false">AC57+AD53*AD54</f>
        <v>110000</v>
      </c>
      <c r="AE57" s="103" t="n">
        <f aca="false">AD57+AE53*AE54</f>
        <v>132500</v>
      </c>
      <c r="AF57" s="103" t="n">
        <f aca="false">AE57+AF53*AF54</f>
        <v>162500</v>
      </c>
      <c r="AG57" s="104" t="n">
        <f aca="false">AF57+AG53*AG54</f>
        <v>192500</v>
      </c>
      <c r="AH57" s="103" t="n">
        <f aca="false">SUM(V57:AG57)</f>
        <v>1064500</v>
      </c>
      <c r="AI57" s="103"/>
      <c r="AJ57" s="103" t="n">
        <f aca="false">(AH53+AJ53)*AJ54</f>
        <v>298000</v>
      </c>
      <c r="AK57" s="103" t="n">
        <f aca="false">AJ57+AK53*AK54</f>
        <v>358000</v>
      </c>
      <c r="AL57" s="103" t="n">
        <f aca="false">AK57+AL53*AL54</f>
        <v>378000</v>
      </c>
      <c r="AM57" s="103" t="n">
        <f aca="false">AL57+AM53*AM54</f>
        <v>408000</v>
      </c>
      <c r="AN57" s="103" t="n">
        <f aca="false">AM57+AN53*AN54</f>
        <v>448000</v>
      </c>
      <c r="AO57" s="103" t="n">
        <f aca="false">AN57+AO53*AO54</f>
        <v>468000</v>
      </c>
      <c r="AP57" s="103" t="n">
        <f aca="false">AO57+AP53*AP54</f>
        <v>488000</v>
      </c>
      <c r="AQ57" s="103" t="n">
        <f aca="false">AP57+AQ53*AQ54</f>
        <v>508000</v>
      </c>
      <c r="AR57" s="103" t="n">
        <f aca="false">AQ57+AR53*AR54</f>
        <v>528000</v>
      </c>
      <c r="AS57" s="103" t="n">
        <f aca="false">AR57+AS53*AS54</f>
        <v>548000</v>
      </c>
      <c r="AT57" s="103" t="n">
        <f aca="false">AS57+AT53*AT54</f>
        <v>568000</v>
      </c>
      <c r="AU57" s="104" t="n">
        <f aca="false">AT57+AU53*AU54</f>
        <v>588000</v>
      </c>
      <c r="AV57" s="103" t="n">
        <f aca="false">SUM(AJ57:AU57)</f>
        <v>5586000</v>
      </c>
    </row>
    <row r="58" s="32" customFormat="true" ht="15.8" hidden="false" customHeight="false" outlineLevel="0" collapsed="false">
      <c r="B58" s="25" t="s">
        <v>97</v>
      </c>
      <c r="E58" s="102"/>
      <c r="F58" s="87"/>
      <c r="G58" s="87"/>
      <c r="H58" s="103" t="n">
        <f aca="false">H53*H55</f>
        <v>0</v>
      </c>
      <c r="I58" s="103" t="n">
        <f aca="false">I55</f>
        <v>5000</v>
      </c>
      <c r="J58" s="103" t="n">
        <f aca="false">J55</f>
        <v>0</v>
      </c>
      <c r="K58" s="103" t="n">
        <f aca="false">K55</f>
        <v>0</v>
      </c>
      <c r="L58" s="103" t="n">
        <f aca="false">L55</f>
        <v>200</v>
      </c>
      <c r="M58" s="103" t="n">
        <f aca="false">M55</f>
        <v>200</v>
      </c>
      <c r="N58" s="103" t="n">
        <f aca="false">N55</f>
        <v>200</v>
      </c>
      <c r="O58" s="103" t="n">
        <f aca="false">O55</f>
        <v>200</v>
      </c>
      <c r="P58" s="103" t="n">
        <f aca="false">P55</f>
        <v>200</v>
      </c>
      <c r="Q58" s="103" t="n">
        <f aca="false">Q55</f>
        <v>200</v>
      </c>
      <c r="R58" s="103" t="n">
        <f aca="false">R55</f>
        <v>10000</v>
      </c>
      <c r="S58" s="104" t="n">
        <f aca="false">S55</f>
        <v>400</v>
      </c>
      <c r="T58" s="103" t="n">
        <f aca="false">SUM(H58:S58)</f>
        <v>16600</v>
      </c>
      <c r="U58" s="103"/>
      <c r="V58" s="103" t="n">
        <f aca="false">V55</f>
        <v>15000</v>
      </c>
      <c r="W58" s="103" t="n">
        <f aca="false">W55</f>
        <v>1000</v>
      </c>
      <c r="X58" s="103" t="n">
        <f aca="false">X55</f>
        <v>1000</v>
      </c>
      <c r="Y58" s="103" t="n">
        <f aca="false">Y55</f>
        <v>10000</v>
      </c>
      <c r="Z58" s="103" t="n">
        <f aca="false">Z55</f>
        <v>1000</v>
      </c>
      <c r="AA58" s="103" t="n">
        <f aca="false">AA55</f>
        <v>1000</v>
      </c>
      <c r="AB58" s="103" t="n">
        <f aca="false">AB55</f>
        <v>1000</v>
      </c>
      <c r="AC58" s="103" t="n">
        <f aca="false">AC55</f>
        <v>20000</v>
      </c>
      <c r="AD58" s="103" t="n">
        <f aca="false">AD55</f>
        <v>2000</v>
      </c>
      <c r="AE58" s="103" t="n">
        <f aca="false">AE55</f>
        <v>2000</v>
      </c>
      <c r="AF58" s="103" t="n">
        <f aca="false">AF55</f>
        <v>30000</v>
      </c>
      <c r="AG58" s="104" t="n">
        <f aca="false">AG55</f>
        <v>2000</v>
      </c>
      <c r="AH58" s="103" t="n">
        <f aca="false">SUM(V58:AG58)</f>
        <v>86000</v>
      </c>
      <c r="AI58" s="103"/>
      <c r="AJ58" s="103" t="n">
        <f aca="false">AJ55</f>
        <v>2000</v>
      </c>
      <c r="AK58" s="103" t="n">
        <f aca="false">AK55</f>
        <v>15000</v>
      </c>
      <c r="AL58" s="103" t="n">
        <f aca="false">AL55</f>
        <v>20000</v>
      </c>
      <c r="AM58" s="103" t="n">
        <f aca="false">AM55</f>
        <v>2000</v>
      </c>
      <c r="AN58" s="103" t="n">
        <f aca="false">AN55</f>
        <v>35000</v>
      </c>
      <c r="AO58" s="103" t="n">
        <f aca="false">AO55</f>
        <v>2000</v>
      </c>
      <c r="AP58" s="103" t="n">
        <f aca="false">AP55</f>
        <v>15000</v>
      </c>
      <c r="AQ58" s="103" t="n">
        <f aca="false">AQ55</f>
        <v>2000</v>
      </c>
      <c r="AR58" s="103" t="n">
        <f aca="false">AR55</f>
        <v>40000</v>
      </c>
      <c r="AS58" s="103" t="n">
        <f aca="false">AS55</f>
        <v>3000</v>
      </c>
      <c r="AT58" s="103" t="n">
        <f aca="false">AT55</f>
        <v>20000</v>
      </c>
      <c r="AU58" s="104" t="n">
        <f aca="false">AU55</f>
        <v>15000</v>
      </c>
      <c r="AV58" s="103" t="n">
        <f aca="false">SUM(AJ58:AU58)</f>
        <v>171000</v>
      </c>
    </row>
    <row r="59" s="32" customFormat="true" ht="15.8" hidden="false" customHeight="false" outlineLevel="0" collapsed="false">
      <c r="B59" s="25" t="s">
        <v>98</v>
      </c>
      <c r="E59" s="102"/>
      <c r="F59" s="87"/>
      <c r="G59" s="87"/>
      <c r="H59" s="103" t="n">
        <f aca="false">H57-H58</f>
        <v>0</v>
      </c>
      <c r="I59" s="103" t="n">
        <f aca="false">I57-I58</f>
        <v>-4000</v>
      </c>
      <c r="J59" s="103" t="n">
        <f aca="false">J57-J58</f>
        <v>1000</v>
      </c>
      <c r="K59" s="103" t="n">
        <f aca="false">K57-K58</f>
        <v>2000</v>
      </c>
      <c r="L59" s="103" t="n">
        <f aca="false">L57-L58</f>
        <v>1800</v>
      </c>
      <c r="M59" s="103" t="n">
        <f aca="false">M57-M58</f>
        <v>1800</v>
      </c>
      <c r="N59" s="103" t="n">
        <f aca="false">N57-N58</f>
        <v>3800</v>
      </c>
      <c r="O59" s="103" t="n">
        <f aca="false">O57-O58</f>
        <v>3800</v>
      </c>
      <c r="P59" s="103" t="n">
        <f aca="false">P57-P58</f>
        <v>3800</v>
      </c>
      <c r="Q59" s="103" t="n">
        <f aca="false">Q57-Q58</f>
        <v>7800</v>
      </c>
      <c r="R59" s="103" t="n">
        <f aca="false">R57-R58</f>
        <v>0</v>
      </c>
      <c r="S59" s="104" t="n">
        <f aca="false">S57-S58</f>
        <v>11600</v>
      </c>
      <c r="T59" s="103" t="n">
        <f aca="false">SUM(H59:S59)</f>
        <v>33400</v>
      </c>
      <c r="U59" s="103"/>
      <c r="V59" s="103" t="n">
        <f aca="false">V57-V58</f>
        <v>17000</v>
      </c>
      <c r="W59" s="103" t="n">
        <f aca="false">W57-W58</f>
        <v>35000</v>
      </c>
      <c r="X59" s="103" t="n">
        <f aca="false">X57-X58</f>
        <v>37000</v>
      </c>
      <c r="Y59" s="103" t="n">
        <f aca="false">Y57-Y58</f>
        <v>43000</v>
      </c>
      <c r="Z59" s="103" t="n">
        <f aca="false">Z57-Z58</f>
        <v>58000</v>
      </c>
      <c r="AA59" s="103" t="n">
        <f aca="false">AA57-AA58</f>
        <v>73000</v>
      </c>
      <c r="AB59" s="103" t="n">
        <f aca="false">AB57-AB58</f>
        <v>79000</v>
      </c>
      <c r="AC59" s="103" t="n">
        <f aca="false">AC57-AC58</f>
        <v>75000</v>
      </c>
      <c r="AD59" s="103" t="n">
        <f aca="false">AD57-AD58</f>
        <v>108000</v>
      </c>
      <c r="AE59" s="103" t="n">
        <f aca="false">AE57-AE58</f>
        <v>130500</v>
      </c>
      <c r="AF59" s="103" t="n">
        <f aca="false">AF57-AF58</f>
        <v>132500</v>
      </c>
      <c r="AG59" s="104" t="n">
        <f aca="false">AG57-AG58</f>
        <v>190500</v>
      </c>
      <c r="AH59" s="103" t="n">
        <f aca="false">SUM(V59:AG59)</f>
        <v>978500</v>
      </c>
      <c r="AI59" s="103"/>
      <c r="AJ59" s="103" t="n">
        <f aca="false">AJ57-AJ58</f>
        <v>296000</v>
      </c>
      <c r="AK59" s="103" t="n">
        <f aca="false">AK57-AK58</f>
        <v>343000</v>
      </c>
      <c r="AL59" s="103" t="n">
        <f aca="false">AL57-AL58</f>
        <v>358000</v>
      </c>
      <c r="AM59" s="103" t="n">
        <f aca="false">AM57-AM58</f>
        <v>406000</v>
      </c>
      <c r="AN59" s="103" t="n">
        <f aca="false">AN57-AN58</f>
        <v>413000</v>
      </c>
      <c r="AO59" s="103" t="n">
        <f aca="false">AO57-AO58</f>
        <v>466000</v>
      </c>
      <c r="AP59" s="103" t="n">
        <f aca="false">AP57-AP58</f>
        <v>473000</v>
      </c>
      <c r="AQ59" s="103" t="n">
        <f aca="false">AQ57-AQ58</f>
        <v>506000</v>
      </c>
      <c r="AR59" s="103" t="n">
        <f aca="false">AR57-AR58</f>
        <v>488000</v>
      </c>
      <c r="AS59" s="103" t="n">
        <f aca="false">AS57-AS58</f>
        <v>545000</v>
      </c>
      <c r="AT59" s="103" t="n">
        <f aca="false">AT57-AT58</f>
        <v>548000</v>
      </c>
      <c r="AU59" s="104" t="n">
        <f aca="false">AU57-AU58</f>
        <v>573000</v>
      </c>
      <c r="AV59" s="103" t="n">
        <f aca="false">SUM(AJ59:AU59)</f>
        <v>5415000</v>
      </c>
    </row>
    <row r="60" s="105" customFormat="true" ht="15.8" hidden="false" customHeight="false" outlineLevel="0" collapsed="false">
      <c r="B60" s="106" t="s">
        <v>99</v>
      </c>
      <c r="E60" s="107"/>
      <c r="F60" s="107"/>
      <c r="G60" s="107"/>
      <c r="H60" s="108" t="n">
        <f aca="false">IF(H57=0,0,(1-H58/H57))</f>
        <v>0</v>
      </c>
      <c r="I60" s="108" t="n">
        <f aca="false">IF(I57=0,0,(1-I58/I57))</f>
        <v>-4</v>
      </c>
      <c r="J60" s="108" t="n">
        <f aca="false">IF(P57=0,0,(1-P58/P57))</f>
        <v>0.95</v>
      </c>
      <c r="K60" s="108" t="n">
        <f aca="false">IF(Q57=0,0,(1-Q58/Q57))</f>
        <v>0.975</v>
      </c>
      <c r="L60" s="108" t="n">
        <f aca="false">IF(R57=0,0,(1-R58/R57))</f>
        <v>0</v>
      </c>
      <c r="M60" s="108" t="n">
        <f aca="false">IF(S57=0,0,(1-S58/S57))</f>
        <v>0.966666666666667</v>
      </c>
      <c r="N60" s="108" t="n">
        <f aca="false">IF(V57=0,0,(1-V58/V57))</f>
        <v>0.53125</v>
      </c>
      <c r="O60" s="108" t="n">
        <f aca="false">IF(W57=0,0,(1-W58/W57))</f>
        <v>0.972222222222222</v>
      </c>
      <c r="P60" s="108" t="n">
        <f aca="false">IF(X57=0,0,(1-X58/X57))</f>
        <v>0.973684210526316</v>
      </c>
      <c r="Q60" s="108" t="n">
        <f aca="false">IF(Y57=0,0,(1-Y58/Y57))</f>
        <v>0.811320754716981</v>
      </c>
      <c r="R60" s="108" t="n">
        <f aca="false">IF(Z57=0,0,(1-Z58/Z57))</f>
        <v>0.983050847457627</v>
      </c>
      <c r="S60" s="109" t="n">
        <f aca="false">IF(AA57=0,0,(1-AA58/AA57))</f>
        <v>0.986486486486487</v>
      </c>
      <c r="T60" s="108" t="n">
        <f aca="false">IF(T57=0,0,(1-T58/T57))</f>
        <v>0.668</v>
      </c>
      <c r="U60" s="108"/>
      <c r="V60" s="108" t="n">
        <f aca="false">IF(AB57=0,0,(1-AB58/AB57))</f>
        <v>0.9875</v>
      </c>
      <c r="W60" s="108" t="n">
        <f aca="false">IF(AC57=0,0,(1-AC58/AC57))</f>
        <v>0.789473684210526</v>
      </c>
      <c r="X60" s="108" t="n">
        <f aca="false">IF(AD57=0,0,(1-AD58/AD57))</f>
        <v>0.981818181818182</v>
      </c>
      <c r="Y60" s="108" t="n">
        <f aca="false">IF(AE57=0,0,(1-AE58/AE57))</f>
        <v>0.984905660377359</v>
      </c>
      <c r="Z60" s="108" t="n">
        <f aca="false">IF(AF57=0,0,(1-AF58/AF57))</f>
        <v>0.815384615384615</v>
      </c>
      <c r="AA60" s="108" t="n">
        <f aca="false">IF(AG57=0,0,(1-AG58/AG57))</f>
        <v>0.98961038961039</v>
      </c>
      <c r="AB60" s="108" t="n">
        <f aca="false">IF(AJ57=0,0,(1-AJ58/AJ57))</f>
        <v>0.993288590604027</v>
      </c>
      <c r="AC60" s="108" t="n">
        <f aca="false">IF(AK57=0,0,(1-AK58/AK57))</f>
        <v>0.958100558659218</v>
      </c>
      <c r="AD60" s="108" t="n">
        <f aca="false">IF(AL57=0,0,(1-AL58/AL57))</f>
        <v>0.947089947089947</v>
      </c>
      <c r="AE60" s="108" t="n">
        <f aca="false">IF(AM57=0,0,(1-AM58/AM57))</f>
        <v>0.995098039215686</v>
      </c>
      <c r="AF60" s="108" t="n">
        <f aca="false">IF(AN57=0,0,(1-AN58/AN57))</f>
        <v>0.921875</v>
      </c>
      <c r="AG60" s="109" t="n">
        <f aca="false">IF(AO57=0,0,(1-AO58/AO57))</f>
        <v>0.995726495726496</v>
      </c>
      <c r="AH60" s="108" t="n">
        <f aca="false">IF(AH57=0,0,(1-AH58/AH57))</f>
        <v>0.919210897134805</v>
      </c>
      <c r="AI60" s="108"/>
      <c r="AJ60" s="108" t="n">
        <f aca="false">IF(AP57=0,0,(1-AP58/AP57))</f>
        <v>0.969262295081967</v>
      </c>
      <c r="AK60" s="108" t="n">
        <f aca="false">IF(AQ57=0,0,(1-AQ58/AQ57))</f>
        <v>0.996062992125984</v>
      </c>
      <c r="AL60" s="108" t="n">
        <f aca="false">IF(AR57=0,0,(1-AR58/AR57))</f>
        <v>0.924242424242424</v>
      </c>
      <c r="AM60" s="108" t="n">
        <f aca="false">IF(AS57=0,0,(1-AS58/AS57))</f>
        <v>0.994525547445255</v>
      </c>
      <c r="AN60" s="108" t="n">
        <f aca="false">IF(AT57=0,0,(1-AT58/AT57))</f>
        <v>0.964788732394366</v>
      </c>
      <c r="AO60" s="108" t="n">
        <f aca="false">IF(AU57=0,0,(1-AU58/AU57))</f>
        <v>0.974489795918367</v>
      </c>
      <c r="AP60" s="108" t="n">
        <f aca="false">IF(AP57=0,0,(1-AP58/AP57))</f>
        <v>0.969262295081967</v>
      </c>
      <c r="AQ60" s="108" t="n">
        <f aca="false">IF(AQ57=0,0,(1-AQ58/AQ57))</f>
        <v>0.996062992125984</v>
      </c>
      <c r="AR60" s="108" t="n">
        <f aca="false">IF(AR57=0,0,(1-AR58/AR57))</f>
        <v>0.924242424242424</v>
      </c>
      <c r="AS60" s="108" t="n">
        <f aca="false">IF(AS57=0,0,(1-AS58/AS57))</f>
        <v>0.994525547445255</v>
      </c>
      <c r="AT60" s="108" t="n">
        <f aca="false">IF(AT57=0,0,(1-AT58/AT57))</f>
        <v>0.964788732394366</v>
      </c>
      <c r="AU60" s="109" t="n">
        <f aca="false">IF(AU57=0,0,(1-AU58/AU57))</f>
        <v>0.974489795918367</v>
      </c>
      <c r="AV60" s="108" t="n">
        <f aca="false">IF(AV57=0,0,(1-AV58/AV57))</f>
        <v>0.969387755102041</v>
      </c>
    </row>
    <row r="61" s="105" customFormat="true" ht="15.8" hidden="false" customHeight="false" outlineLevel="0" collapsed="false">
      <c r="A61" s="110"/>
      <c r="B61" s="111" t="s">
        <v>109</v>
      </c>
      <c r="C61" s="110"/>
      <c r="D61" s="110"/>
      <c r="E61" s="112"/>
      <c r="F61" s="112"/>
      <c r="G61" s="112"/>
      <c r="H61" s="113" t="n">
        <f aca="false">H53*0.9*300</f>
        <v>0</v>
      </c>
      <c r="I61" s="113" t="n">
        <v>0</v>
      </c>
      <c r="J61" s="113" t="n">
        <f aca="false">J53*0.9*300</f>
        <v>0</v>
      </c>
      <c r="K61" s="113" t="n">
        <v>0</v>
      </c>
      <c r="L61" s="113" t="n">
        <v>1000</v>
      </c>
      <c r="M61" s="113" t="n">
        <f aca="false">M53*0.9*300</f>
        <v>0</v>
      </c>
      <c r="N61" s="113" t="n">
        <f aca="false">N53*0.9*300</f>
        <v>540</v>
      </c>
      <c r="O61" s="113" t="n">
        <f aca="false">O53*0.9*300</f>
        <v>0</v>
      </c>
      <c r="P61" s="113" t="n">
        <v>1500</v>
      </c>
      <c r="Q61" s="113" t="n">
        <f aca="false">Q53*0.9*300</f>
        <v>1080</v>
      </c>
      <c r="R61" s="113" t="n">
        <f aca="false">R53*0.9*300</f>
        <v>540</v>
      </c>
      <c r="S61" s="114" t="n">
        <v>1080</v>
      </c>
      <c r="T61" s="113" t="n">
        <f aca="false">SUM(H61:S61)</f>
        <v>5740</v>
      </c>
      <c r="U61" s="108"/>
      <c r="V61" s="113" t="n">
        <f aca="false">V53*0.9*300</f>
        <v>5400</v>
      </c>
      <c r="W61" s="113" t="n">
        <f aca="false">V61</f>
        <v>5400</v>
      </c>
      <c r="X61" s="113" t="n">
        <f aca="false">W61</f>
        <v>5400</v>
      </c>
      <c r="Y61" s="113" t="n">
        <f aca="false">Y53*0.9*300</f>
        <v>2700</v>
      </c>
      <c r="Z61" s="113" t="n">
        <v>10000</v>
      </c>
      <c r="AA61" s="113" t="n">
        <v>20000</v>
      </c>
      <c r="AB61" s="113" t="n">
        <v>30000</v>
      </c>
      <c r="AC61" s="113" t="n">
        <v>30000</v>
      </c>
      <c r="AD61" s="113" t="n">
        <v>30000</v>
      </c>
      <c r="AE61" s="113" t="n">
        <v>40000</v>
      </c>
      <c r="AF61" s="113" t="n">
        <v>50000</v>
      </c>
      <c r="AG61" s="114" t="n">
        <v>50000</v>
      </c>
      <c r="AH61" s="113" t="n">
        <f aca="false">SUM(V61:AG61)</f>
        <v>278900</v>
      </c>
      <c r="AI61" s="108"/>
      <c r="AJ61" s="113" t="n">
        <v>50000</v>
      </c>
      <c r="AK61" s="113" t="n">
        <v>75000</v>
      </c>
      <c r="AL61" s="113" t="n">
        <v>75000</v>
      </c>
      <c r="AM61" s="113" t="n">
        <v>150000</v>
      </c>
      <c r="AN61" s="113" t="n">
        <v>150000</v>
      </c>
      <c r="AO61" s="113" t="n">
        <v>200000</v>
      </c>
      <c r="AP61" s="113" t="n">
        <v>200000</v>
      </c>
      <c r="AQ61" s="113" t="n">
        <v>250000</v>
      </c>
      <c r="AR61" s="113" t="n">
        <v>250000</v>
      </c>
      <c r="AS61" s="113" t="n">
        <v>350000</v>
      </c>
      <c r="AT61" s="113" t="n">
        <v>400000</v>
      </c>
      <c r="AU61" s="114" t="n">
        <v>400000</v>
      </c>
      <c r="AV61" s="113" t="n">
        <f aca="false">SUM(AJ61:AU61)</f>
        <v>2550000</v>
      </c>
    </row>
    <row r="62" s="105" customFormat="true" ht="15.8" hidden="false" customHeight="false" outlineLevel="0" collapsed="false">
      <c r="A62" s="110"/>
      <c r="B62" s="111" t="s">
        <v>101</v>
      </c>
      <c r="C62" s="110"/>
      <c r="D62" s="110"/>
      <c r="E62" s="112"/>
      <c r="F62" s="112"/>
      <c r="G62" s="112"/>
      <c r="H62" s="113" t="n">
        <v>0</v>
      </c>
      <c r="I62" s="113" t="n">
        <v>0</v>
      </c>
      <c r="J62" s="113" t="n">
        <v>0</v>
      </c>
      <c r="K62" s="113" t="n">
        <v>0</v>
      </c>
      <c r="L62" s="113" t="n">
        <v>0</v>
      </c>
      <c r="M62" s="113" t="n">
        <v>0</v>
      </c>
      <c r="N62" s="113" t="n">
        <v>0</v>
      </c>
      <c r="O62" s="113" t="n">
        <v>0</v>
      </c>
      <c r="P62" s="113" t="n">
        <v>0</v>
      </c>
      <c r="Q62" s="113" t="n">
        <v>0</v>
      </c>
      <c r="R62" s="113" t="n">
        <v>0</v>
      </c>
      <c r="S62" s="114" t="n">
        <v>0</v>
      </c>
      <c r="T62" s="113" t="n">
        <f aca="false">SUM(H62:S62)</f>
        <v>0</v>
      </c>
      <c r="U62" s="108"/>
      <c r="V62" s="113" t="n">
        <v>0</v>
      </c>
      <c r="W62" s="113" t="n">
        <v>0</v>
      </c>
      <c r="X62" s="113" t="n">
        <v>0</v>
      </c>
      <c r="Y62" s="113" t="n">
        <v>0</v>
      </c>
      <c r="Z62" s="113" t="n">
        <v>0</v>
      </c>
      <c r="AA62" s="113" t="n">
        <v>0</v>
      </c>
      <c r="AB62" s="113" t="n">
        <v>0</v>
      </c>
      <c r="AC62" s="113" t="n">
        <v>0</v>
      </c>
      <c r="AD62" s="113" t="n">
        <v>0</v>
      </c>
      <c r="AE62" s="113" t="n">
        <v>0</v>
      </c>
      <c r="AF62" s="113" t="n">
        <v>0</v>
      </c>
      <c r="AG62" s="114" t="n">
        <v>0</v>
      </c>
      <c r="AH62" s="113" t="n">
        <f aca="false">SUM(V62:AG62)</f>
        <v>0</v>
      </c>
      <c r="AI62" s="108"/>
      <c r="AJ62" s="113" t="n">
        <v>0</v>
      </c>
      <c r="AK62" s="113" t="n">
        <v>0</v>
      </c>
      <c r="AL62" s="113" t="n">
        <v>0</v>
      </c>
      <c r="AM62" s="113" t="n">
        <v>0</v>
      </c>
      <c r="AN62" s="113" t="n">
        <v>0</v>
      </c>
      <c r="AO62" s="113" t="n">
        <v>0</v>
      </c>
      <c r="AP62" s="113" t="n">
        <v>0</v>
      </c>
      <c r="AQ62" s="113" t="n">
        <v>0</v>
      </c>
      <c r="AR62" s="113" t="n">
        <v>0</v>
      </c>
      <c r="AS62" s="113" t="n">
        <v>0</v>
      </c>
      <c r="AT62" s="113" t="n">
        <v>0</v>
      </c>
      <c r="AU62" s="114" t="n">
        <v>0</v>
      </c>
      <c r="AV62" s="113" t="n">
        <f aca="false">SUM(AJ62:AU62)</f>
        <v>0</v>
      </c>
    </row>
    <row r="63" customFormat="false" ht="15.8" hidden="false" customHeight="false" outlineLevel="0" collapsed="false">
      <c r="S63" s="90"/>
      <c r="AG63" s="90"/>
      <c r="AU63" s="90"/>
    </row>
    <row r="64" s="130" customFormat="true" ht="15.8" hidden="false" customHeight="false" outlineLevel="0" collapsed="false">
      <c r="A64" s="126" t="s">
        <v>110</v>
      </c>
      <c r="B64" s="126"/>
      <c r="C64" s="126"/>
      <c r="D64" s="126"/>
      <c r="E64" s="127"/>
      <c r="F64" s="127"/>
      <c r="G64" s="127"/>
      <c r="H64" s="128"/>
      <c r="I64" s="128"/>
      <c r="J64" s="128"/>
      <c r="K64" s="128"/>
      <c r="L64" s="128"/>
      <c r="M64" s="128"/>
      <c r="N64" s="128"/>
      <c r="O64" s="128"/>
      <c r="P64" s="128"/>
      <c r="Q64" s="128"/>
      <c r="R64" s="128"/>
      <c r="S64" s="129"/>
      <c r="T64" s="128"/>
      <c r="U64" s="128"/>
      <c r="V64" s="128"/>
      <c r="W64" s="128"/>
      <c r="X64" s="128"/>
      <c r="Y64" s="128"/>
      <c r="Z64" s="128"/>
      <c r="AA64" s="128"/>
      <c r="AB64" s="128"/>
      <c r="AC64" s="128"/>
      <c r="AD64" s="128"/>
      <c r="AE64" s="128"/>
      <c r="AF64" s="128"/>
      <c r="AG64" s="129"/>
      <c r="AH64" s="128"/>
      <c r="AI64" s="128"/>
      <c r="AJ64" s="128"/>
      <c r="AK64" s="128"/>
      <c r="AL64" s="128"/>
      <c r="AM64" s="128"/>
      <c r="AN64" s="128"/>
      <c r="AO64" s="128"/>
      <c r="AP64" s="128"/>
      <c r="AQ64" s="128"/>
      <c r="AR64" s="128"/>
      <c r="AS64" s="128"/>
      <c r="AT64" s="128"/>
      <c r="AU64" s="129"/>
      <c r="AV64" s="128"/>
    </row>
    <row r="65" s="130" customFormat="true" ht="15.8" hidden="false" customHeight="false" outlineLevel="0" collapsed="false">
      <c r="A65" s="126"/>
      <c r="B65" s="126" t="s">
        <v>93</v>
      </c>
      <c r="C65" s="126"/>
      <c r="D65" s="126"/>
      <c r="E65" s="127"/>
      <c r="F65" s="127"/>
      <c r="G65" s="127"/>
      <c r="H65" s="131" t="n">
        <f aca="false">H5+H17+H29+H41</f>
        <v>0</v>
      </c>
      <c r="I65" s="131" t="n">
        <f aca="false">I5+I17+I29+I41</f>
        <v>13</v>
      </c>
      <c r="J65" s="131" t="n">
        <f aca="false">J5+J17+J29+J41</f>
        <v>47</v>
      </c>
      <c r="K65" s="131" t="n">
        <f aca="false">K5+K17+K29+K41</f>
        <v>77</v>
      </c>
      <c r="L65" s="131" t="n">
        <f aca="false">L5+L17+L29+L41</f>
        <v>114</v>
      </c>
      <c r="M65" s="131" t="n">
        <f aca="false">M5+M17+M29+M41</f>
        <v>136</v>
      </c>
      <c r="N65" s="131" t="n">
        <f aca="false">N5+N17+N29+N41</f>
        <v>214</v>
      </c>
      <c r="O65" s="131" t="n">
        <f aca="false">O5+O17+O29+O41</f>
        <v>222</v>
      </c>
      <c r="P65" s="131" t="n">
        <f aca="false">P5+P17+P29+P41</f>
        <v>263.4</v>
      </c>
      <c r="Q65" s="131" t="n">
        <f aca="false">Q5+Q17+Q29+Q41</f>
        <v>290.68</v>
      </c>
      <c r="R65" s="131" t="n">
        <f aca="false">R5+R17+R29+R41</f>
        <v>345.416</v>
      </c>
      <c r="S65" s="132" t="n">
        <f aca="false">S5+S17+S29+S41</f>
        <v>445</v>
      </c>
      <c r="T65" s="131" t="n">
        <f aca="false">SUM(H65:S65)</f>
        <v>2167.496</v>
      </c>
      <c r="U65" s="128"/>
      <c r="V65" s="131" t="n">
        <f aca="false">V5+V17+V29+V41</f>
        <v>540</v>
      </c>
      <c r="W65" s="131" t="n">
        <f aca="false">W5+W17+W29+W41</f>
        <v>785</v>
      </c>
      <c r="X65" s="131" t="n">
        <f aca="false">X5+X17+X29+X41</f>
        <v>972.5</v>
      </c>
      <c r="Y65" s="131" t="n">
        <f aca="false">Y5+Y17+Y29+Y41</f>
        <v>1293</v>
      </c>
      <c r="Z65" s="131" t="n">
        <f aca="false">Z5+Z17+Z29+Z41</f>
        <v>1771.9</v>
      </c>
      <c r="AA65" s="131" t="n">
        <f aca="false">AA5+AA17+AA29+AA41</f>
        <v>2224.47</v>
      </c>
      <c r="AB65" s="131" t="n">
        <f aca="false">AB5+AB17+AB29+AB41</f>
        <v>2787.811</v>
      </c>
      <c r="AC65" s="131" t="n">
        <f aca="false">AC5+AC17+AC29+AC41</f>
        <v>3143.3732</v>
      </c>
      <c r="AD65" s="131" t="n">
        <f aca="false">AD5+AD17+AD29+AD41</f>
        <v>3432.71052</v>
      </c>
      <c r="AE65" s="131" t="n">
        <f aca="false">AE5+AE17+AE29+AE41</f>
        <v>4095.252624</v>
      </c>
      <c r="AF65" s="131" t="n">
        <f aca="false">AF5+AF17+AF29+AF41</f>
        <v>4846.7778864</v>
      </c>
      <c r="AG65" s="132" t="n">
        <f aca="false">AG5+AG17+AG29+AG41</f>
        <v>5057.45567504</v>
      </c>
      <c r="AH65" s="131" t="n">
        <f aca="false">SUM(V65:AG65)</f>
        <v>30950.25090544</v>
      </c>
      <c r="AI65" s="128"/>
      <c r="AJ65" s="131" t="n">
        <f aca="false">AJ5+AJ17+AJ29+AJ41</f>
        <v>5620</v>
      </c>
      <c r="AK65" s="131" t="n">
        <f aca="false">AK5+AK17+AK29+AK41</f>
        <v>7160</v>
      </c>
      <c r="AL65" s="131" t="n">
        <f aca="false">AL5+AL17+AL29+AL41</f>
        <v>8180</v>
      </c>
      <c r="AM65" s="131" t="n">
        <f aca="false">AM5+AM17+AM29+AM41</f>
        <v>9740</v>
      </c>
      <c r="AN65" s="131" t="n">
        <f aca="false">AN5+AN17+AN29+AN41</f>
        <v>11160</v>
      </c>
      <c r="AO65" s="131" t="n">
        <f aca="false">AO5+AO17+AO29+AO41</f>
        <v>12030</v>
      </c>
      <c r="AP65" s="131" t="n">
        <f aca="false">AP5+AP17+AP29+AP41</f>
        <v>24140</v>
      </c>
      <c r="AQ65" s="131" t="n">
        <f aca="false">AQ5+AQ17+AQ29+AQ41</f>
        <v>25640</v>
      </c>
      <c r="AR65" s="131" t="n">
        <f aca="false">AR5+AR17+AR29+AR41</f>
        <v>28180</v>
      </c>
      <c r="AS65" s="131" t="n">
        <f aca="false">AS5+AS17+AS29+AS41</f>
        <v>29950</v>
      </c>
      <c r="AT65" s="131" t="n">
        <f aca="false">AT5+AT17+AT29+AT41</f>
        <v>32720</v>
      </c>
      <c r="AU65" s="132" t="n">
        <f aca="false">AU5+AU17+AU29+AU41</f>
        <v>34740</v>
      </c>
      <c r="AV65" s="131" t="n">
        <f aca="false">SUM(AJ65:AU65)</f>
        <v>229260</v>
      </c>
    </row>
    <row r="66" s="130" customFormat="true" ht="15.8" hidden="false" customHeight="false" outlineLevel="0" collapsed="false">
      <c r="A66" s="133"/>
      <c r="B66" s="133"/>
      <c r="C66" s="133"/>
      <c r="D66" s="128"/>
      <c r="E66" s="134"/>
      <c r="F66" s="135"/>
      <c r="G66" s="135"/>
      <c r="H66" s="136"/>
      <c r="I66" s="136"/>
      <c r="J66" s="136"/>
      <c r="K66" s="136"/>
      <c r="L66" s="136"/>
      <c r="M66" s="136"/>
      <c r="N66" s="136"/>
      <c r="O66" s="136"/>
      <c r="P66" s="136"/>
      <c r="Q66" s="136"/>
      <c r="R66" s="136"/>
      <c r="S66" s="137"/>
      <c r="T66" s="136"/>
      <c r="U66" s="136"/>
      <c r="V66" s="136"/>
      <c r="W66" s="136"/>
      <c r="X66" s="136"/>
      <c r="Y66" s="136"/>
      <c r="Z66" s="136"/>
      <c r="AA66" s="136"/>
      <c r="AB66" s="136"/>
      <c r="AC66" s="136"/>
      <c r="AD66" s="136"/>
      <c r="AE66" s="136"/>
      <c r="AF66" s="136"/>
      <c r="AG66" s="137"/>
      <c r="AH66" s="136"/>
      <c r="AI66" s="136"/>
      <c r="AJ66" s="136"/>
      <c r="AK66" s="136"/>
      <c r="AL66" s="136"/>
      <c r="AM66" s="136"/>
      <c r="AN66" s="136"/>
      <c r="AO66" s="136"/>
      <c r="AP66" s="136"/>
      <c r="AQ66" s="136"/>
      <c r="AR66" s="136"/>
      <c r="AS66" s="136"/>
      <c r="AT66" s="136"/>
      <c r="AU66" s="137"/>
      <c r="AV66" s="136"/>
    </row>
    <row r="67" s="130" customFormat="true" ht="15.8" hidden="false" customHeight="false" outlineLevel="0" collapsed="false">
      <c r="A67" s="133"/>
      <c r="B67" s="133"/>
      <c r="C67" s="133"/>
      <c r="D67" s="128"/>
      <c r="E67" s="138"/>
      <c r="F67" s="135"/>
      <c r="G67" s="135"/>
      <c r="H67" s="136"/>
      <c r="I67" s="136"/>
      <c r="J67" s="136"/>
      <c r="K67" s="136"/>
      <c r="L67" s="136"/>
      <c r="M67" s="136"/>
      <c r="N67" s="136"/>
      <c r="O67" s="136"/>
      <c r="P67" s="136"/>
      <c r="Q67" s="136"/>
      <c r="R67" s="136"/>
      <c r="S67" s="137"/>
      <c r="T67" s="136"/>
      <c r="U67" s="136"/>
      <c r="V67" s="136"/>
      <c r="W67" s="136"/>
      <c r="X67" s="136"/>
      <c r="Y67" s="136"/>
      <c r="Z67" s="136"/>
      <c r="AA67" s="136"/>
      <c r="AB67" s="136"/>
      <c r="AC67" s="136"/>
      <c r="AD67" s="136"/>
      <c r="AE67" s="136"/>
      <c r="AF67" s="136"/>
      <c r="AG67" s="137"/>
      <c r="AH67" s="136"/>
      <c r="AI67" s="136"/>
      <c r="AJ67" s="136"/>
      <c r="AK67" s="136"/>
      <c r="AL67" s="136"/>
      <c r="AM67" s="136"/>
      <c r="AN67" s="136"/>
      <c r="AO67" s="136"/>
      <c r="AP67" s="136"/>
      <c r="AQ67" s="136"/>
      <c r="AR67" s="136"/>
      <c r="AS67" s="136"/>
      <c r="AT67" s="136"/>
      <c r="AU67" s="137"/>
      <c r="AV67" s="136"/>
    </row>
    <row r="68" s="130" customFormat="true" ht="3.75" hidden="false" customHeight="true" outlineLevel="0" collapsed="false">
      <c r="A68" s="133"/>
      <c r="B68" s="133"/>
      <c r="C68" s="133"/>
      <c r="D68" s="128"/>
      <c r="E68" s="139"/>
      <c r="F68" s="135"/>
      <c r="G68" s="135"/>
      <c r="H68" s="136"/>
      <c r="I68" s="136"/>
      <c r="J68" s="136"/>
      <c r="K68" s="136"/>
      <c r="L68" s="136"/>
      <c r="M68" s="136"/>
      <c r="N68" s="136"/>
      <c r="O68" s="136"/>
      <c r="P68" s="136"/>
      <c r="Q68" s="136"/>
      <c r="R68" s="136"/>
      <c r="S68" s="137"/>
      <c r="T68" s="136"/>
      <c r="U68" s="136"/>
      <c r="V68" s="136"/>
      <c r="W68" s="136"/>
      <c r="X68" s="136"/>
      <c r="Y68" s="136"/>
      <c r="Z68" s="136"/>
      <c r="AA68" s="136"/>
      <c r="AB68" s="136"/>
      <c r="AC68" s="136"/>
      <c r="AD68" s="136"/>
      <c r="AE68" s="136"/>
      <c r="AF68" s="136"/>
      <c r="AG68" s="137"/>
      <c r="AH68" s="136"/>
      <c r="AI68" s="136"/>
      <c r="AJ68" s="136"/>
      <c r="AK68" s="136"/>
      <c r="AL68" s="136"/>
      <c r="AM68" s="136"/>
      <c r="AN68" s="136"/>
      <c r="AO68" s="136"/>
      <c r="AP68" s="136"/>
      <c r="AQ68" s="136"/>
      <c r="AR68" s="136"/>
      <c r="AS68" s="136"/>
      <c r="AT68" s="136"/>
      <c r="AU68" s="137"/>
      <c r="AV68" s="136"/>
    </row>
    <row r="69" s="140" customFormat="true" ht="15.8" hidden="false" customHeight="false" outlineLevel="0" collapsed="false">
      <c r="B69" s="140" t="s">
        <v>96</v>
      </c>
      <c r="E69" s="141"/>
      <c r="F69" s="142"/>
      <c r="G69" s="142"/>
      <c r="H69" s="143" t="n">
        <f aca="false">H9+H21+H33+H45+H57+H13+H25+H37+H49+H61</f>
        <v>0</v>
      </c>
      <c r="I69" s="143" t="n">
        <f aca="false">I9+I21+I33+I45+I57+I13+I25+I37+I49+I61</f>
        <v>46144</v>
      </c>
      <c r="J69" s="143" t="n">
        <f aca="false">J9+J21+J33+J45+J57+J13+J25+J37+J49+J61</f>
        <v>189017</v>
      </c>
      <c r="K69" s="143" t="n">
        <f aca="false">K9+K21+K33+K45+K57+K13+K25+K37+K49+K61</f>
        <v>322281</v>
      </c>
      <c r="L69" s="143" t="n">
        <f aca="false">L9+L21+L33+L45+L57+L13+L25+L37+L49+L61</f>
        <v>467746</v>
      </c>
      <c r="M69" s="143" t="n">
        <f aca="false">M9+M21+M33+M45+M57+M13+M25+M37+M49+M61</f>
        <v>621935</v>
      </c>
      <c r="N69" s="143" t="n">
        <f aca="false">N9+N21+N33+N45+N57+N13+N25+N37+N49+N61</f>
        <v>888196</v>
      </c>
      <c r="O69" s="143" t="n">
        <f aca="false">O9+O21+O33+O45+O57+O13+O25+O37+O49+O61</f>
        <v>878841</v>
      </c>
      <c r="P69" s="143" t="n">
        <f aca="false">P9+P21+P33+P45+P57+P13+P25+P37+P49+P61</f>
        <v>1043422.6</v>
      </c>
      <c r="Q69" s="143" t="n">
        <f aca="false">Q9+Q21+Q33+Q45+Q57+Q13+Q25+Q37+Q49+Q61</f>
        <v>1169495</v>
      </c>
      <c r="R69" s="143" t="n">
        <f aca="false">R9+R21+R33+R45+R57+R13+R25+R37+R49+R61</f>
        <v>1301499.4</v>
      </c>
      <c r="S69" s="144" t="n">
        <f aca="false">S9+S21+S33+S45+S57+S13+S25+S37+S49+S61</f>
        <v>1643556</v>
      </c>
      <c r="T69" s="143" t="n">
        <f aca="false">SUM(H69:S69)</f>
        <v>8572133</v>
      </c>
      <c r="U69" s="143"/>
      <c r="V69" s="143" t="n">
        <f aca="false">V9+V21+V33+V45+V57+V13+V25+V37+V49+V61</f>
        <v>1693253.8</v>
      </c>
      <c r="W69" s="143" t="n">
        <f aca="false">W9+W21+W33+W45+W57+W13+W25+W37+W49+W61</f>
        <v>2532830.7</v>
      </c>
      <c r="X69" s="143" t="n">
        <f aca="false">X9+X21+X33+X45+X57+X13+X25+X37+X49+X61</f>
        <v>3340608.25</v>
      </c>
      <c r="Y69" s="143" t="n">
        <f aca="false">Y9+Y21+Y33+Y45+Y57+Y13+Y25+Y37+Y49+Y61</f>
        <v>4370307.26</v>
      </c>
      <c r="Z69" s="143" t="n">
        <f aca="false">Z9+Z21+Z33+Z45+Z57+Z13+Z25+Z37+Z49+Z61</f>
        <v>6001579.77</v>
      </c>
      <c r="AA69" s="143" t="n">
        <f aca="false">AA9+AA21+AA33+AA45+AA57+AA13+AA25+AA37+AA49+AA61</f>
        <v>7955970.865</v>
      </c>
      <c r="AB69" s="143" t="n">
        <f aca="false">AB9+AB21+AB33+AB45+AB57+AB13+AB25+AB37+AB49+AB61</f>
        <v>9708300.217</v>
      </c>
      <c r="AC69" s="143" t="n">
        <f aca="false">AC9+AC21+AC33+AC45+AC57+AC13+AC25+AC37+AC49+AC61</f>
        <v>11328642.8824</v>
      </c>
      <c r="AD69" s="143" t="n">
        <f aca="false">AD9+AD21+AD33+AD45+AD57+AD13+AD25+AD37+AD49+AD61</f>
        <v>11605400.8210916</v>
      </c>
      <c r="AE69" s="143" t="n">
        <f aca="false">AE9+AE21+AE33+AE45+AE57+AE13+AE25+AE37+AE49+AE61</f>
        <v>13758497.2963099</v>
      </c>
      <c r="AF69" s="143" t="n">
        <f aca="false">AF9+AF21+AF33+AF45+AF57+AF13+AF25+AF37+AF49+AF61</f>
        <v>16528999.4570409</v>
      </c>
      <c r="AG69" s="144" t="n">
        <f aca="false">AG9+AG21+AG33+AG45+AG57+AG13+AG25+AG37+AG49+AG61</f>
        <v>16958206.420445</v>
      </c>
      <c r="AH69" s="143" t="n">
        <f aca="false">SUM(V69:AG69)</f>
        <v>105782597.739287</v>
      </c>
      <c r="AI69" s="143"/>
      <c r="AJ69" s="143" t="n">
        <f aca="false">AJ9+AJ21+AJ33+AJ45+AJ57+AJ13+AJ25+AJ37+AJ49+AJ61</f>
        <v>17717216.338</v>
      </c>
      <c r="AK69" s="143" t="n">
        <f aca="false">AK9+AK21+AK33+AK45+AK57+AK13+AK25+AK37+AK49+AK61</f>
        <v>21866314.338</v>
      </c>
      <c r="AL69" s="143" t="n">
        <f aca="false">AL9+AL21+AL33+AL45+AL57+AL13+AL25+AL37+AL49+AL61</f>
        <v>23709922.096</v>
      </c>
      <c r="AM69" s="143" t="n">
        <f aca="false">AM9+AM21+AM33+AM45+AM57+AM13+AM25+AM37+AM49+AM61</f>
        <v>28340622.612</v>
      </c>
      <c r="AN69" s="143" t="n">
        <f aca="false">AN9+AN21+AN33+AN45+AN57+AN13+AN25+AN37+AN49+AN61</f>
        <v>31964791.233</v>
      </c>
      <c r="AO69" s="143" t="n">
        <f aca="false">AO9+AO21+AO33+AO45+AO57+AO13+AO25+AO37+AO49+AO61</f>
        <v>34983569.7152</v>
      </c>
      <c r="AP69" s="143" t="n">
        <f aca="false">AP9+AP21+AP33+AP45+AP57+AP13+AP25+AP37+AP49+AP61</f>
        <v>91376148.1974</v>
      </c>
      <c r="AQ69" s="143" t="n">
        <f aca="false">AQ9+AQ21+AQ33+AQ45+AQ57+AQ13+AQ25+AQ37+AQ49+AQ61</f>
        <v>94222978.1974</v>
      </c>
      <c r="AR69" s="143" t="n">
        <f aca="false">AR9+AR21+AR33+AR45+AR57+AR13+AR25+AR37+AR49+AR61</f>
        <v>98690650.1618</v>
      </c>
      <c r="AS69" s="143" t="n">
        <f aca="false">AS9+AS21+AS33+AS45+AS57+AS13+AS25+AS37+AS49+AS61</f>
        <v>102655252.6618</v>
      </c>
      <c r="AT69" s="143" t="n">
        <f aca="false">AT9+AT21+AT33+AT45+AT57+AT13+AT25+AT37+AT49+AT61</f>
        <v>107809295.46989</v>
      </c>
      <c r="AU69" s="144" t="n">
        <f aca="false">AU9+AU21+AU33+AU45+AU57+AU13+AU25+AU37+AU49+AU61</f>
        <v>111267965.77798</v>
      </c>
      <c r="AV69" s="143" t="n">
        <f aca="false">SUM(AJ69:AU69)</f>
        <v>764604726.79847</v>
      </c>
      <c r="AW69" s="145"/>
    </row>
    <row r="70" s="140" customFormat="true" ht="15.8" hidden="false" customHeight="false" outlineLevel="0" collapsed="false">
      <c r="B70" s="140" t="s">
        <v>97</v>
      </c>
      <c r="E70" s="141"/>
      <c r="F70" s="142"/>
      <c r="G70" s="142"/>
      <c r="H70" s="143" t="n">
        <f aca="false">H10+H22+H34+H46+H58+H14+H26+H38+H50+H62</f>
        <v>0</v>
      </c>
      <c r="I70" s="143" t="n">
        <f aca="false">I10+I22+I34+I46+I58+I14+I26+I38+I50+I62</f>
        <v>30850</v>
      </c>
      <c r="J70" s="143" t="n">
        <f aca="false">J10+J22+J34+J46+J58+J14+J26+J38+J50+J62</f>
        <v>108184</v>
      </c>
      <c r="K70" s="143" t="n">
        <f aca="false">K10+K22+K34+K46+K58+K14+K26+K38+K50+K62</f>
        <v>185449</v>
      </c>
      <c r="L70" s="143" t="n">
        <f aca="false">L10+L22+L34+L46+L58+L14+L26+L38+L50+L62</f>
        <v>267618</v>
      </c>
      <c r="M70" s="143" t="n">
        <f aca="false">M10+M22+M34+M46+M58+M14+M26+M38+M50+M62</f>
        <v>357672</v>
      </c>
      <c r="N70" s="143" t="n">
        <f aca="false">N10+N22+N34+N46+N58+N14+N26+N38+N50+N62</f>
        <v>505144</v>
      </c>
      <c r="O70" s="143" t="n">
        <f aca="false">O10+O22+O34+O46+O58+O14+O26+O38+O50+O62</f>
        <v>500550</v>
      </c>
      <c r="P70" s="143" t="n">
        <f aca="false">P10+P22+P34+P46+P58+P14+P26+P38+P50+P62</f>
        <v>594240</v>
      </c>
      <c r="Q70" s="143" t="n">
        <f aca="false">Q10+Q22+Q34+Q46+Q58+Q14+Q26+Q38+Q50+Q62</f>
        <v>665421.6</v>
      </c>
      <c r="R70" s="143" t="n">
        <f aca="false">R10+R22+R34+R46+R58+R14+R26+R38+R50+R62</f>
        <v>749297.72</v>
      </c>
      <c r="S70" s="144" t="n">
        <f aca="false">S10+S22+S34+S46+S58+S14+S26+S38+S50+S62</f>
        <v>932325</v>
      </c>
      <c r="T70" s="143" t="n">
        <f aca="false">SUM(H70:S70)</f>
        <v>4896751.32</v>
      </c>
      <c r="U70" s="143"/>
      <c r="V70" s="143" t="n">
        <f aca="false">V10+V22+V34+V46+V58+V14+V26+V38+V50+V62</f>
        <v>1010692</v>
      </c>
      <c r="W70" s="143" t="n">
        <f aca="false">W10+W22+W34+W46+W58+W14+W26+W38+W50+W62</f>
        <v>1472950.5</v>
      </c>
      <c r="X70" s="143" t="n">
        <f aca="false">X10+X22+X34+X46+X58+X14+X26+X38+X50+X62</f>
        <v>1933478.75</v>
      </c>
      <c r="Y70" s="143" t="n">
        <f aca="false">Y10+Y22+Y34+Y46+Y58+Y14+Y26+Y38+Y50+Y62</f>
        <v>2553896.9</v>
      </c>
      <c r="Z70" s="143" t="n">
        <f aca="false">Z10+Z22+Z34+Z46+Z58+Z14+Z26+Z38+Z50+Z62</f>
        <v>3513404.75</v>
      </c>
      <c r="AA70" s="143" t="n">
        <f aca="false">AA10+AA22+AA34+AA46+AA58+AA14+AA26+AA38+AA50+AA62</f>
        <v>4685536.235</v>
      </c>
      <c r="AB70" s="143" t="n">
        <f aca="false">AB10+AB22+AB34+AB46+AB58+AB14+AB26+AB38+AB50+AB62</f>
        <v>5723717.6805</v>
      </c>
      <c r="AC70" s="143" t="n">
        <f aca="false">AC10+AC22+AC34+AC46+AC58+AC14+AC26+AC38+AC50+AC62</f>
        <v>6600451.5966</v>
      </c>
      <c r="AD70" s="143" t="n">
        <f aca="false">AD10+AD22+AD34+AD46+AD58+AD14+AD26+AD38+AD50+AD62</f>
        <v>6707129.836172</v>
      </c>
      <c r="AE70" s="143" t="n">
        <f aca="false">AE10+AE22+AE34+AE46+AE58+AE14+AE26+AE38+AE50+AE62</f>
        <v>7955966.4934064</v>
      </c>
      <c r="AF70" s="143" t="n">
        <f aca="false">AF10+AF22+AF34+AF46+AF58+AF14+AF26+AF38+AF50+AF62</f>
        <v>9583883.21174704</v>
      </c>
      <c r="AG70" s="144" t="n">
        <f aca="false">AG10+AG22+AG34+AG46+AG58+AG14+AG26+AG38+AG50+AG62</f>
        <v>9752891.95606498</v>
      </c>
      <c r="AH70" s="143" t="n">
        <f aca="false">SUM(V70:AG70)</f>
        <v>61493999.9094904</v>
      </c>
      <c r="AI70" s="143"/>
      <c r="AJ70" s="143" t="n">
        <f aca="false">AJ10+AJ22+AJ34+AJ46+AJ58+AJ14+AJ26+AJ38+AJ50+AJ62</f>
        <v>10208962.41</v>
      </c>
      <c r="AK70" s="143" t="n">
        <f aca="false">AK10+AK22+AK34+AK46+AK58+AK14+AK26+AK38+AK50+AK62</f>
        <v>12648462.41</v>
      </c>
      <c r="AL70" s="143" t="n">
        <f aca="false">AL10+AL22+AL34+AL46+AL58+AL14+AL26+AL38+AL50+AL62</f>
        <v>13758061.72</v>
      </c>
      <c r="AM70" s="143" t="n">
        <f aca="false">AM10+AM22+AM34+AM46+AM58+AM14+AM26+AM38+AM50+AM62</f>
        <v>16419330.34</v>
      </c>
      <c r="AN70" s="143" t="n">
        <f aca="false">AN10+AN22+AN34+AN46+AN58+AN14+AN26+AN38+AN50+AN62</f>
        <v>18591585.685</v>
      </c>
      <c r="AO70" s="143" t="n">
        <f aca="false">AO10+AO22+AO34+AO46+AO58+AO14+AO26+AO38+AO50+AO62</f>
        <v>20320914.564</v>
      </c>
      <c r="AP70" s="143" t="n">
        <f aca="false">AP10+AP22+AP34+AP46+AP58+AP14+AP26+AP38+AP50+AP62</f>
        <v>53311808.443</v>
      </c>
      <c r="AQ70" s="143" t="n">
        <f aca="false">AQ10+AQ22+AQ34+AQ46+AQ58+AQ14+AQ26+AQ38+AQ50+AQ62</f>
        <v>55007658.443</v>
      </c>
      <c r="AR70" s="143" t="n">
        <f aca="false">AR10+AR22+AR34+AR46+AR58+AR14+AR26+AR38+AR50+AR62</f>
        <v>57755541.201</v>
      </c>
      <c r="AS70" s="143" t="n">
        <f aca="false">AS10+AS22+AS34+AS46+AS58+AS14+AS26+AS38+AS50+AS62</f>
        <v>60115686.201</v>
      </c>
      <c r="AT70" s="143" t="n">
        <f aca="false">AT10+AT22+AT34+AT46+AT58+AT14+AT26+AT38+AT50+AT62</f>
        <v>63249020.26105</v>
      </c>
      <c r="AU70" s="144" t="n">
        <f aca="false">AU10+AU22+AU34+AU46+AU58+AU14+AU26+AU38+AU50+AU62</f>
        <v>65334279.3211</v>
      </c>
      <c r="AV70" s="143" t="n">
        <f aca="false">SUM(AJ70:AU70)</f>
        <v>446721310.99915</v>
      </c>
      <c r="AW70" s="145"/>
    </row>
    <row r="71" s="140" customFormat="true" ht="15.8" hidden="false" customHeight="false" outlineLevel="0" collapsed="false">
      <c r="B71" s="140" t="s">
        <v>98</v>
      </c>
      <c r="E71" s="141"/>
      <c r="F71" s="142"/>
      <c r="G71" s="142"/>
      <c r="H71" s="143" t="n">
        <f aca="false">H11+H23+H35+H47+H59</f>
        <v>0</v>
      </c>
      <c r="I71" s="143" t="n">
        <f aca="false">I11+I23+I35+I47+I59</f>
        <v>15189</v>
      </c>
      <c r="J71" s="143" t="n">
        <f aca="false">J11+J23+J35+J47+J59</f>
        <v>80332</v>
      </c>
      <c r="K71" s="143" t="n">
        <f aca="false">K11+K23+K35+K47+K59</f>
        <v>135941</v>
      </c>
      <c r="L71" s="143" t="n">
        <f aca="false">L11+L23+L35+L47+L59</f>
        <v>197286</v>
      </c>
      <c r="M71" s="143" t="n">
        <f aca="false">M11+M23+M35+M47+M59</f>
        <v>261725</v>
      </c>
      <c r="N71" s="143" t="n">
        <f aca="false">N11+N23+N35+N47+N59</f>
        <v>378666</v>
      </c>
      <c r="O71" s="143" t="n">
        <f aca="false">O11+O23+O35+O47+O59</f>
        <v>373671</v>
      </c>
      <c r="P71" s="143" t="n">
        <f aca="false">P11+P23+P35+P47+P59</f>
        <v>442438.6</v>
      </c>
      <c r="Q71" s="143" t="n">
        <f aca="false">Q11+Q23+Q35+Q47+Q59</f>
        <v>496133</v>
      </c>
      <c r="R71" s="143" t="n">
        <f aca="false">R11+R23+R35+R47+R59</f>
        <v>542079.2</v>
      </c>
      <c r="S71" s="144" t="n">
        <f aca="false">S11+S23+S35+S47+S59</f>
        <v>697461</v>
      </c>
      <c r="T71" s="143" t="n">
        <f aca="false">SUM(H71:S71)</f>
        <v>3620921.8</v>
      </c>
      <c r="U71" s="143"/>
      <c r="V71" s="143" t="n">
        <f aca="false">V11+V23+V35+V47+V59</f>
        <v>644551.8</v>
      </c>
      <c r="W71" s="143" t="n">
        <f aca="false">W11+W23+W35+W47+W59</f>
        <v>1006502.7</v>
      </c>
      <c r="X71" s="143" t="n">
        <f aca="false">X11+X23+X35+X47+X59</f>
        <v>1341110.75</v>
      </c>
      <c r="Y71" s="143" t="n">
        <f aca="false">Y11+Y23+Y35+Y47+Y59</f>
        <v>1734892.86</v>
      </c>
      <c r="Z71" s="143" t="n">
        <f aca="false">Z11+Z23+Z35+Z47+Z59</f>
        <v>2372968.77</v>
      </c>
      <c r="AA71" s="143" t="n">
        <f aca="false">AA11+AA23+AA35+AA47+AA59</f>
        <v>3127417.005</v>
      </c>
      <c r="AB71" s="143" t="n">
        <f aca="false">AB11+AB23+AB35+AB47+AB59</f>
        <v>3798919.624</v>
      </c>
      <c r="AC71" s="143" t="n">
        <f aca="false">AC11+AC23+AC35+AC47+AC59</f>
        <v>4529194.7908</v>
      </c>
      <c r="AD71" s="143" t="n">
        <f aca="false">AD11+AD23+AD35+AD47+AD59</f>
        <v>4677744.3404196</v>
      </c>
      <c r="AE71" s="143" t="n">
        <f aca="false">AE11+AE23+AE35+AE47+AE59</f>
        <v>5536478.82950352</v>
      </c>
      <c r="AF71" s="143" t="n">
        <f aca="false">AF11+AF23+AF35+AF47+AF59</f>
        <v>6630202.07455387</v>
      </c>
      <c r="AG71" s="144" t="n">
        <f aca="false">AG11+AG23+AG35+AG47+AG59</f>
        <v>6834989.81670926</v>
      </c>
      <c r="AH71" s="143" t="n">
        <f aca="false">SUM(V71:AG71)</f>
        <v>42234973.3609863</v>
      </c>
      <c r="AI71" s="143"/>
      <c r="AJ71" s="143" t="n">
        <f aca="false">AJ11+AJ23+AJ35+AJ47+AJ59</f>
        <v>6903373.928</v>
      </c>
      <c r="AK71" s="143" t="n">
        <f aca="false">AK11+AK23+AK35+AK47+AK59</f>
        <v>8431311.928</v>
      </c>
      <c r="AL71" s="143" t="n">
        <f aca="false">AL11+AL23+AL35+AL47+AL59</f>
        <v>9038390.376</v>
      </c>
      <c r="AM71" s="143" t="n">
        <f aca="false">AM11+AM23+AM35+AM47+AM59</f>
        <v>10777332.272</v>
      </c>
      <c r="AN71" s="143" t="n">
        <f aca="false">AN11+AN23+AN35+AN47+AN59</f>
        <v>12082215.548</v>
      </c>
      <c r="AO71" s="143" t="n">
        <f aca="false">AO11+AO23+AO35+AO47+AO59</f>
        <v>13251397.6512</v>
      </c>
      <c r="AP71" s="143" t="n">
        <f aca="false">AP11+AP23+AP35+AP47+AP59</f>
        <v>35968879.7544</v>
      </c>
      <c r="AQ71" s="143" t="n">
        <f aca="false">AQ11+AQ23+AQ35+AQ47+AQ59</f>
        <v>36895109.7544</v>
      </c>
      <c r="AR71" s="143" t="n">
        <f aca="false">AR11+AR23+AR35+AR47+AR59</f>
        <v>38310788.9608</v>
      </c>
      <c r="AS71" s="143" t="n">
        <f aca="false">AS11+AS23+AS35+AS47+AS59</f>
        <v>39636941.4608</v>
      </c>
      <c r="AT71" s="143" t="n">
        <f aca="false">AT11+AT23+AT35+AT47+AT59</f>
        <v>41280845.20884</v>
      </c>
      <c r="AU71" s="144" t="n">
        <f aca="false">AU11+AU23+AU35+AU47+AU59</f>
        <v>42402826.45688</v>
      </c>
      <c r="AV71" s="143" t="n">
        <f aca="false">SUM(AJ71:AU71)</f>
        <v>294979413.29932</v>
      </c>
      <c r="AW71" s="145"/>
    </row>
    <row r="72" s="146" customFormat="true" ht="15.8" hidden="false" customHeight="false" outlineLevel="0" collapsed="false">
      <c r="B72" s="146" t="s">
        <v>99</v>
      </c>
      <c r="E72" s="147"/>
      <c r="F72" s="147"/>
      <c r="G72" s="147"/>
      <c r="H72" s="148" t="n">
        <f aca="false">IF(H69=0,0,(1-H70/H69))</f>
        <v>0</v>
      </c>
      <c r="I72" s="148" t="n">
        <f aca="false">IF(I69=0,0,(1-I70/I69))</f>
        <v>0.331440707350901</v>
      </c>
      <c r="J72" s="148" t="n">
        <f aca="false">IF(J69=0,0,(1-J70/J69))</f>
        <v>0.427649364871943</v>
      </c>
      <c r="K72" s="148" t="n">
        <f aca="false">IF(K69=0,0,(1-K70/K69))</f>
        <v>0.424573586404411</v>
      </c>
      <c r="L72" s="148" t="n">
        <f aca="false">IF(L69=0,0,(1-L70/L69))</f>
        <v>0.427856144146609</v>
      </c>
      <c r="M72" s="148" t="n">
        <f aca="false">IF(M69=0,0,(1-M70/M69))</f>
        <v>0.424904531824065</v>
      </c>
      <c r="N72" s="148" t="n">
        <f aca="false">IF(N69=0,0,(1-N70/N69))</f>
        <v>0.431269674711438</v>
      </c>
      <c r="O72" s="148" t="n">
        <f aca="false">IF(O69=0,0,(1-O70/O69))</f>
        <v>0.430443049425323</v>
      </c>
      <c r="P72" s="148" t="n">
        <f aca="false">IF(P69=0,0,(1-P70/P69))</f>
        <v>0.43048962136722</v>
      </c>
      <c r="Q72" s="148" t="n">
        <f aca="false">IF(Q69=0,0,(1-Q70/Q69))</f>
        <v>0.431018003497236</v>
      </c>
      <c r="R72" s="148" t="n">
        <f aca="false">IF(R69=0,0,(1-R70/R69))</f>
        <v>0.424281163710102</v>
      </c>
      <c r="S72" s="149" t="n">
        <f aca="false">IF(S69=0,0,(1-S70/S69))</f>
        <v>0.432739133926681</v>
      </c>
      <c r="T72" s="148" t="n">
        <f aca="false">IF(T69=0,0,(1-T70/T69))</f>
        <v>0.428759292465481</v>
      </c>
      <c r="U72" s="148"/>
      <c r="V72" s="148" t="n">
        <f aca="false">IF(V69=0,0,(1-V70/V69))</f>
        <v>0.403106610479776</v>
      </c>
      <c r="W72" s="148" t="n">
        <f aca="false">IF(W69=0,0,(1-W70/W69))</f>
        <v>0.418456788288297</v>
      </c>
      <c r="X72" s="148" t="n">
        <f aca="false">IF(X69=0,0,(1-X70/X69))</f>
        <v>0.421219548865091</v>
      </c>
      <c r="Y72" s="148" t="n">
        <f aca="false">IF(Y69=0,0,(1-Y70/Y69))</f>
        <v>0.415625321501994</v>
      </c>
      <c r="Z72" s="148" t="n">
        <f aca="false">IF(Z69=0,0,(1-Z70/Z69))</f>
        <v>0.414586678067265</v>
      </c>
      <c r="AA72" s="148" t="n">
        <f aca="false">IF(AA69=0,0,(1-AA70/AA69))</f>
        <v>0.411066692612882</v>
      </c>
      <c r="AB72" s="148" t="n">
        <f aca="false">IF(AB69=0,0,(1-AB70/AB69))</f>
        <v>0.410430502501631</v>
      </c>
      <c r="AC72" s="148" t="n">
        <f aca="false">IF(AC69=0,0,(1-AC70/AC69))</f>
        <v>0.417366081258122</v>
      </c>
      <c r="AD72" s="148" t="n">
        <f aca="false">IF(AD69=0,0,(1-AD70/AD69))</f>
        <v>0.42206823016552</v>
      </c>
      <c r="AE72" s="148" t="n">
        <f aca="false">IF(AE69=0,0,(1-AE70/AE69))</f>
        <v>0.421741610143702</v>
      </c>
      <c r="AF72" s="148" t="n">
        <f aca="false">IF(AF69=0,0,(1-AF70/AF69))</f>
        <v>0.420177655843254</v>
      </c>
      <c r="AG72" s="149" t="n">
        <f aca="false">IF(AG69=0,0,(1-AG70/AG69))</f>
        <v>0.424886587988056</v>
      </c>
      <c r="AH72" s="148" t="n">
        <f aca="false">IF(AH69=0,0,(1-AH70/AH69))</f>
        <v>0.418675649646561</v>
      </c>
      <c r="AI72" s="148"/>
      <c r="AJ72" s="148" t="n">
        <f aca="false">IF(AJ69=0,0,(1-AJ70/AJ69))</f>
        <v>0.423782934336939</v>
      </c>
      <c r="AK72" s="148" t="n">
        <f aca="false">IF(AK69=0,0,(1-AK70/AK69))</f>
        <v>0.421554898805278</v>
      </c>
      <c r="AL72" s="148" t="n">
        <f aca="false">IF(AL69=0,0,(1-AL70/AL69))</f>
        <v>0.419733997256741</v>
      </c>
      <c r="AM72" s="148" t="n">
        <f aca="false">IF(AM69=0,0,(1-AM70/AM69))</f>
        <v>0.420643273622093</v>
      </c>
      <c r="AN72" s="148" t="n">
        <f aca="false">IF(AN69=0,0,(1-AN70/AN69))</f>
        <v>0.418372998294251</v>
      </c>
      <c r="AO72" s="148" t="n">
        <f aca="false">IF(AO69=0,0,(1-AO70/AO69))</f>
        <v>0.41912975921463</v>
      </c>
      <c r="AP72" s="148" t="n">
        <f aca="false">IF(AP69=0,0,(1-AP70/AP69))</f>
        <v>0.416567567196743</v>
      </c>
      <c r="AQ72" s="148" t="n">
        <f aca="false">IF(AQ69=0,0,(1-AQ70/AQ69))</f>
        <v>0.416196988299847</v>
      </c>
      <c r="AR72" s="148" t="n">
        <f aca="false">IF(AR69=0,0,(1-AR70/AR69))</f>
        <v>0.414782037545484</v>
      </c>
      <c r="AS72" s="148" t="n">
        <f aca="false">IF(AS69=0,0,(1-AS70/AS69))</f>
        <v>0.414392496806252</v>
      </c>
      <c r="AT72" s="148" t="n">
        <f aca="false">IF(AT69=0,0,(1-AT70/AT69))</f>
        <v>0.41332498292121</v>
      </c>
      <c r="AU72" s="149" t="n">
        <f aca="false">IF(AU69=0,0,(1-AU70/AU69))</f>
        <v>0.412820402851027</v>
      </c>
      <c r="AV72" s="148" t="n">
        <f aca="false">IF(AV69=0,0,(1-AV70/AV69))</f>
        <v>0.415748692962378</v>
      </c>
      <c r="AW72" s="150"/>
    </row>
    <row r="73" customFormat="false" ht="15.8" hidden="false" customHeight="false" outlineLevel="0" collapsed="false">
      <c r="S73" s="90"/>
    </row>
    <row r="74" customFormat="false" ht="15.8" hidden="false" customHeight="false" outlineLevel="0" collapsed="false">
      <c r="B74" s="151" t="s">
        <v>111</v>
      </c>
      <c r="H74" s="152" t="n">
        <v>0</v>
      </c>
      <c r="I74" s="152" t="n">
        <f aca="false">H65+H74</f>
        <v>0</v>
      </c>
      <c r="J74" s="152" t="n">
        <f aca="false">I65+I74</f>
        <v>13</v>
      </c>
      <c r="K74" s="152" t="n">
        <f aca="false">J65+J74</f>
        <v>60</v>
      </c>
      <c r="L74" s="152" t="n">
        <f aca="false">K65+K74</f>
        <v>137</v>
      </c>
      <c r="M74" s="152" t="n">
        <f aca="false">L65+L74</f>
        <v>251</v>
      </c>
      <c r="N74" s="152" t="n">
        <f aca="false">M65+M74</f>
        <v>387</v>
      </c>
      <c r="O74" s="152" t="n">
        <f aca="false">N65+N74</f>
        <v>601</v>
      </c>
      <c r="P74" s="152" t="n">
        <f aca="false">O65+O74</f>
        <v>823</v>
      </c>
      <c r="Q74" s="152" t="n">
        <f aca="false">P65+P74</f>
        <v>1086.4</v>
      </c>
      <c r="R74" s="152" t="n">
        <f aca="false">Q65+Q74</f>
        <v>1377.08</v>
      </c>
      <c r="S74" s="153" t="n">
        <f aca="false">R65+R74</f>
        <v>1722.496</v>
      </c>
      <c r="T74" s="152" t="n">
        <f aca="false">S65+S74</f>
        <v>2167.496</v>
      </c>
      <c r="V74" s="154" t="n">
        <f aca="false">T74</f>
        <v>2167.496</v>
      </c>
      <c r="W74" s="154" t="n">
        <f aca="false">V65+V74</f>
        <v>2707.496</v>
      </c>
      <c r="X74" s="154" t="n">
        <f aca="false">W65+W74</f>
        <v>3492.496</v>
      </c>
      <c r="Y74" s="154" t="n">
        <f aca="false">X65+X74</f>
        <v>4464.996</v>
      </c>
      <c r="Z74" s="154" t="n">
        <f aca="false">Y65+Y74</f>
        <v>5757.996</v>
      </c>
      <c r="AA74" s="154" t="n">
        <f aca="false">Z65+Z74</f>
        <v>7529.896</v>
      </c>
      <c r="AB74" s="154" t="n">
        <f aca="false">AA65+AA74</f>
        <v>9754.366</v>
      </c>
      <c r="AC74" s="154" t="n">
        <f aca="false">AB65+AB74</f>
        <v>12542.177</v>
      </c>
      <c r="AD74" s="154" t="n">
        <f aca="false">AC65+AC74</f>
        <v>15685.5502</v>
      </c>
      <c r="AE74" s="154" t="n">
        <f aca="false">AD65+AD74</f>
        <v>19118.26072</v>
      </c>
      <c r="AF74" s="154" t="n">
        <f aca="false">AE65+AE74</f>
        <v>23213.513344</v>
      </c>
      <c r="AG74" s="154" t="n">
        <f aca="false">AF65+AF74</f>
        <v>28060.2912304</v>
      </c>
      <c r="AH74" s="154" t="n">
        <f aca="false">AG65+AG74</f>
        <v>33117.74690544</v>
      </c>
      <c r="AI74" s="154"/>
      <c r="AJ74" s="154" t="n">
        <f aca="false">AH74</f>
        <v>33117.74690544</v>
      </c>
      <c r="AK74" s="154"/>
      <c r="AL74" s="154"/>
      <c r="AM74" s="154"/>
      <c r="AN74" s="154"/>
      <c r="AO74" s="154"/>
      <c r="AP74" s="154"/>
      <c r="AQ74" s="154"/>
      <c r="AR74" s="154"/>
      <c r="AS74" s="154"/>
      <c r="AT74" s="154"/>
      <c r="AU74" s="154"/>
      <c r="AV74" s="154"/>
    </row>
  </sheetData>
  <printOptions headings="false" gridLines="false" gridLinesSet="true" horizontalCentered="false" verticalCentered="false"/>
  <pageMargins left="0.7875" right="0.7875" top="1.025" bottom="1.025" header="0.7875" footer="0.7875"/>
  <pageSetup paperSize="1" scale="100" firstPageNumber="1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&amp;C&amp;A</oddHeader>
    <oddFooter>&amp;CPage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Q35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H5" activeCellId="0" sqref="H5"/>
    </sheetView>
  </sheetViews>
  <sheetFormatPr defaultRowHeight="12.8"/>
  <cols>
    <col collapsed="false" hidden="false" max="1" min="1" style="155" width="11.8061224489796"/>
    <col collapsed="false" hidden="false" max="2" min="2" style="155" width="15.4438775510204"/>
    <col collapsed="false" hidden="false" max="3" min="3" style="155" width="21.0204081632653"/>
    <col collapsed="false" hidden="false" max="4" min="4" style="155" width="5.43367346938776"/>
    <col collapsed="false" hidden="false" max="5" min="5" style="155" width="12.4642857142857"/>
    <col collapsed="false" hidden="false" max="6" min="6" style="155" width="13.1377551020408"/>
    <col collapsed="false" hidden="false" max="7" min="7" style="155" width="13.5357142857143"/>
    <col collapsed="false" hidden="false" max="8" min="8" style="155" width="11.1938775510204"/>
    <col collapsed="false" hidden="false" max="17" min="9" style="155" width="12.3826530612245"/>
    <col collapsed="false" hidden="false" max="18" min="18" style="155" width="10.1785714285714"/>
    <col collapsed="false" hidden="false" max="19" min="19" style="155" width="13.265306122449"/>
    <col collapsed="false" hidden="false" max="257" min="20" style="155" width="10.1785714285714"/>
    <col collapsed="false" hidden="false" max="1025" min="258" style="33" width="10.1785714285714"/>
  </cols>
  <sheetData>
    <row r="1" customFormat="false" ht="19.35" hidden="false" customHeight="false" outlineLevel="0" collapsed="false">
      <c r="A1" s="156" t="s">
        <v>0</v>
      </c>
      <c r="B1" s="53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</row>
    <row r="2" customFormat="false" ht="17" hidden="false" customHeight="false" outlineLevel="0" collapsed="false">
      <c r="A2" s="157" t="s">
        <v>112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</row>
    <row r="3" customFormat="false" ht="14.65" hidden="false" customHeight="false" outlineLevel="0" collapsed="false">
      <c r="A3" s="62"/>
      <c r="B3" s="62"/>
      <c r="C3" s="62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</row>
    <row r="4" customFormat="false" ht="14.65" hidden="false" customHeight="false" outlineLevel="0" collapsed="false">
      <c r="A4" s="62"/>
      <c r="B4" s="62"/>
      <c r="C4" s="62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</row>
    <row r="5" customFormat="false" ht="14.65" hidden="false" customHeight="false" outlineLevel="0" collapsed="false">
      <c r="A5" s="62"/>
      <c r="B5" s="62"/>
      <c r="C5" s="62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</row>
    <row r="6" customFormat="false" ht="14.65" hidden="false" customHeight="false" outlineLevel="0" collapsed="false">
      <c r="A6" s="62"/>
      <c r="B6" s="62"/>
      <c r="C6" s="62"/>
      <c r="D6" s="57"/>
      <c r="E6" s="158" t="s">
        <v>66</v>
      </c>
      <c r="F6" s="158" t="s">
        <v>113</v>
      </c>
      <c r="G6" s="158" t="s">
        <v>114</v>
      </c>
      <c r="H6" s="33"/>
      <c r="I6" s="33"/>
      <c r="J6" s="33"/>
      <c r="K6" s="33"/>
      <c r="L6" s="33"/>
      <c r="M6" s="33"/>
      <c r="N6" s="33"/>
      <c r="O6" s="33"/>
      <c r="P6" s="33"/>
      <c r="Q6" s="33"/>
    </row>
    <row r="7" customFormat="false" ht="14.65" hidden="false" customHeight="false" outlineLevel="0" collapsed="false">
      <c r="A7" s="62"/>
      <c r="B7" s="62"/>
      <c r="C7" s="62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</row>
    <row r="8" customFormat="false" ht="14.65" hidden="false" customHeight="false" outlineLevel="0" collapsed="false">
      <c r="A8" s="62" t="s">
        <v>115</v>
      </c>
      <c r="B8" s="62"/>
      <c r="C8" s="62"/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</row>
    <row r="9" customFormat="false" ht="14.65" hidden="false" customHeight="false" outlineLevel="0" collapsed="false">
      <c r="A9" s="62"/>
      <c r="B9" s="62" t="s">
        <v>116</v>
      </c>
      <c r="C9" s="62"/>
      <c r="D9" s="57"/>
      <c r="E9" s="63" t="n">
        <f aca="false">'4. Sales Forecast'!T9+'4. Sales Forecast'!T13</f>
        <v>4614512</v>
      </c>
      <c r="F9" s="63" t="n">
        <f aca="false">'4. Sales Forecast'!AH9+'4. Sales Forecast'!AH13</f>
        <v>64469868.75</v>
      </c>
      <c r="G9" s="63" t="n">
        <f aca="false">'4. Sales Forecast'!AQ9+'4. Sales Forecast'!AQ13</f>
        <v>73800000</v>
      </c>
      <c r="H9" s="63"/>
      <c r="I9" s="63"/>
      <c r="J9" s="63"/>
      <c r="K9" s="63"/>
      <c r="L9" s="63"/>
      <c r="M9" s="63"/>
      <c r="N9" s="63"/>
      <c r="O9" s="63"/>
      <c r="P9" s="63"/>
      <c r="Q9" s="121"/>
    </row>
    <row r="10" customFormat="false" ht="14.65" hidden="false" customHeight="false" outlineLevel="0" collapsed="false">
      <c r="A10" s="62"/>
      <c r="B10" s="62" t="s">
        <v>117</v>
      </c>
      <c r="C10" s="62"/>
      <c r="D10" s="57"/>
      <c r="E10" s="63" t="n">
        <f aca="false">'4. Sales Forecast'!T21+'4. Sales Forecast'!T25</f>
        <v>2305344</v>
      </c>
      <c r="F10" s="63" t="n">
        <f aca="false">'4. Sales Forecast'!AH21+'4. Sales Forecast'!AH25</f>
        <v>14194450.5547874</v>
      </c>
      <c r="G10" s="63" t="n">
        <f aca="false">'4. Sales Forecast'!AV21+'4. Sales Forecast'!AV25</f>
        <v>135469002.5</v>
      </c>
      <c r="H10" s="63"/>
      <c r="I10" s="63"/>
      <c r="J10" s="63"/>
      <c r="K10" s="63"/>
      <c r="L10" s="63"/>
      <c r="M10" s="63"/>
      <c r="N10" s="63"/>
      <c r="O10" s="63"/>
      <c r="P10" s="63"/>
      <c r="Q10" s="121"/>
    </row>
    <row r="11" customFormat="false" ht="14.65" hidden="false" customHeight="false" outlineLevel="0" collapsed="false">
      <c r="A11" s="62"/>
      <c r="B11" s="62" t="s">
        <v>118</v>
      </c>
      <c r="C11" s="62"/>
      <c r="D11" s="57"/>
      <c r="E11" s="63" t="n">
        <f aca="false">'4. Sales Forecast'!T33+'4. Sales Forecast'!T37</f>
        <v>569412</v>
      </c>
      <c r="F11" s="63" t="n">
        <f aca="false">'4. Sales Forecast'!AH33+'4. Sales Forecast'!AH37</f>
        <v>10578700</v>
      </c>
      <c r="G11" s="63" t="n">
        <f aca="false">'4. Sales Forecast'!AV33+'4. Sales Forecast'!AU37</f>
        <v>50678400</v>
      </c>
      <c r="H11" s="63"/>
      <c r="I11" s="63"/>
      <c r="J11" s="63"/>
      <c r="K11" s="63"/>
      <c r="L11" s="63"/>
      <c r="M11" s="63"/>
      <c r="N11" s="63"/>
      <c r="O11" s="63"/>
      <c r="P11" s="63"/>
      <c r="Q11" s="121"/>
    </row>
    <row r="12" customFormat="false" ht="14.65" hidden="false" customHeight="false" outlineLevel="0" collapsed="false">
      <c r="A12" s="62"/>
      <c r="B12" s="62" t="s">
        <v>119</v>
      </c>
      <c r="C12" s="62"/>
      <c r="D12" s="57"/>
      <c r="E12" s="63" t="n">
        <f aca="false">'4. Sales Forecast'!T45+'4. Sales Forecast'!T49</f>
        <v>1027125</v>
      </c>
      <c r="F12" s="63" t="n">
        <f aca="false">'4. Sales Forecast'!AH45+'4. Sales Forecast'!AH49</f>
        <v>15196178.4345</v>
      </c>
      <c r="G12" s="63" t="n">
        <f aca="false">'4. Sales Forecast'!AV45+'4. Sales Forecast'!AV49</f>
        <v>25595124.29847</v>
      </c>
      <c r="H12" s="63"/>
      <c r="I12" s="63"/>
      <c r="J12" s="63"/>
      <c r="K12" s="63"/>
      <c r="L12" s="63"/>
      <c r="M12" s="63"/>
      <c r="N12" s="63"/>
      <c r="O12" s="63"/>
      <c r="P12" s="63"/>
      <c r="Q12" s="121"/>
    </row>
    <row r="13" customFormat="false" ht="14.65" hidden="false" customHeight="false" outlineLevel="0" collapsed="false">
      <c r="A13" s="62"/>
      <c r="B13" s="62" t="s">
        <v>120</v>
      </c>
      <c r="C13" s="62"/>
      <c r="D13" s="57"/>
      <c r="E13" s="63" t="n">
        <f aca="false">'4. Sales Forecast'!T57+'4. Sales Forecast'!T61</f>
        <v>55740</v>
      </c>
      <c r="F13" s="63" t="n">
        <f aca="false">'4. Sales Forecast'!AH57+'4. Sales Forecast'!AH61</f>
        <v>1343400</v>
      </c>
      <c r="G13" s="63" t="n">
        <f aca="false">'4. Sales Forecast'!AV57+'4. Sales Forecast'!AV61</f>
        <v>8136000</v>
      </c>
      <c r="H13" s="63"/>
      <c r="I13" s="63"/>
      <c r="J13" s="63"/>
      <c r="K13" s="63"/>
      <c r="L13" s="63"/>
      <c r="M13" s="63"/>
      <c r="N13" s="63"/>
      <c r="O13" s="63"/>
      <c r="P13" s="63"/>
      <c r="Q13" s="121"/>
    </row>
    <row r="14" customFormat="false" ht="14.65" hidden="false" customHeight="false" outlineLevel="0" collapsed="false">
      <c r="A14" s="62"/>
      <c r="B14" s="62"/>
      <c r="C14" s="62"/>
      <c r="D14" s="57"/>
      <c r="E14" s="84"/>
      <c r="F14" s="84"/>
      <c r="G14" s="84"/>
      <c r="H14" s="33"/>
      <c r="I14" s="33"/>
      <c r="J14" s="33"/>
      <c r="K14" s="33"/>
      <c r="L14" s="33"/>
      <c r="M14" s="33"/>
      <c r="N14" s="33"/>
      <c r="O14" s="33"/>
      <c r="P14" s="33"/>
      <c r="Q14" s="33"/>
    </row>
    <row r="15" customFormat="false" ht="14.65" hidden="false" customHeight="false" outlineLevel="0" collapsed="false">
      <c r="A15" s="62" t="s">
        <v>121</v>
      </c>
      <c r="B15" s="62"/>
      <c r="C15" s="62"/>
      <c r="D15" s="57"/>
      <c r="E15" s="121" t="n">
        <f aca="false">SUM(E9:E13)</f>
        <v>8572133</v>
      </c>
      <c r="F15" s="121" t="n">
        <f aca="false">SUM(F9:F13)</f>
        <v>105782597.739287</v>
      </c>
      <c r="G15" s="121" t="n">
        <f aca="false">SUM(G9:G13)</f>
        <v>293678526.79847</v>
      </c>
      <c r="H15" s="121"/>
      <c r="I15" s="121"/>
      <c r="J15" s="121"/>
      <c r="K15" s="121"/>
      <c r="L15" s="121"/>
      <c r="M15" s="121"/>
      <c r="N15" s="121"/>
      <c r="O15" s="121"/>
      <c r="P15" s="121"/>
      <c r="Q15" s="121"/>
    </row>
    <row r="16" customFormat="false" ht="14.65" hidden="false" customHeight="false" outlineLevel="0" collapsed="false">
      <c r="A16" s="62"/>
      <c r="B16" s="62"/>
      <c r="C16" s="62"/>
      <c r="D16" s="57"/>
      <c r="E16" s="57"/>
      <c r="F16" s="57"/>
      <c r="G16" s="57"/>
      <c r="H16" s="57"/>
      <c r="I16" s="57"/>
      <c r="J16" s="57"/>
      <c r="K16" s="57"/>
      <c r="L16" s="57"/>
      <c r="M16" s="57"/>
      <c r="N16" s="57"/>
      <c r="O16" s="57"/>
      <c r="P16" s="57"/>
      <c r="Q16" s="57"/>
    </row>
    <row r="17" customFormat="false" ht="14.65" hidden="false" customHeight="false" outlineLevel="0" collapsed="false">
      <c r="A17" s="62" t="s">
        <v>122</v>
      </c>
      <c r="B17" s="62"/>
      <c r="C17" s="62"/>
      <c r="D17" s="57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</row>
    <row r="18" customFormat="false" ht="14.65" hidden="false" customHeight="false" outlineLevel="0" collapsed="false">
      <c r="A18" s="62"/>
      <c r="B18" s="62" t="s">
        <v>116</v>
      </c>
      <c r="C18" s="62"/>
      <c r="D18" s="57"/>
      <c r="E18" s="63" t="n">
        <f aca="false">'4. Sales Forecast'!T10+'4. Sales Forecast'!T14</f>
        <v>2718584.32</v>
      </c>
      <c r="F18" s="63" t="n">
        <f aca="false">'4. Sales Forecast'!AH10+'4. Sales Forecast'!AH14</f>
        <v>38166918.75</v>
      </c>
      <c r="G18" s="63" t="n">
        <f aca="false">'4. Sales Forecast'!AQ10+'4. Sales Forecast'!AQ14</f>
        <v>43121250</v>
      </c>
      <c r="H18" s="63"/>
      <c r="I18" s="63"/>
      <c r="J18" s="63"/>
      <c r="K18" s="63"/>
      <c r="L18" s="63"/>
      <c r="M18" s="63"/>
      <c r="N18" s="63"/>
      <c r="O18" s="63"/>
      <c r="P18" s="63"/>
      <c r="Q18" s="63"/>
    </row>
    <row r="19" customFormat="false" ht="14.65" hidden="false" customHeight="false" outlineLevel="0" collapsed="false">
      <c r="A19" s="62"/>
      <c r="B19" s="62" t="s">
        <v>117</v>
      </c>
      <c r="C19" s="62"/>
      <c r="D19" s="57"/>
      <c r="E19" s="63" t="n">
        <f aca="false">'4. Sales Forecast'!T22+'4. Sales Forecast'!T26</f>
        <v>1282670</v>
      </c>
      <c r="F19" s="63" t="n">
        <f aca="false">'4. Sales Forecast'!AH22+'4. Sales Forecast'!AH26</f>
        <v>9199070.40449043</v>
      </c>
      <c r="G19" s="63" t="n">
        <f aca="false">'4. Sales Forecast'!AV22+'4. Sales Forecast'!AV26</f>
        <v>84480175</v>
      </c>
      <c r="H19" s="121"/>
      <c r="I19" s="121"/>
      <c r="J19" s="121"/>
      <c r="K19" s="121"/>
      <c r="L19" s="121"/>
      <c r="M19" s="121"/>
      <c r="N19" s="121"/>
      <c r="O19" s="121"/>
      <c r="P19" s="121"/>
      <c r="Q19" s="63"/>
    </row>
    <row r="20" customFormat="false" ht="14.65" hidden="false" customHeight="false" outlineLevel="0" collapsed="false">
      <c r="A20" s="62"/>
      <c r="B20" s="62" t="s">
        <v>118</v>
      </c>
      <c r="C20" s="62"/>
      <c r="D20" s="57"/>
      <c r="E20" s="63" t="n">
        <f aca="false">'4. Sales Forecast'!T34+'4. Sales Forecast'!T38</f>
        <v>325865</v>
      </c>
      <c r="F20" s="63" t="n">
        <f aca="false">'4. Sales Forecast'!AH34+'4. Sales Forecast'!AH38</f>
        <v>6032000</v>
      </c>
      <c r="G20" s="63" t="n">
        <f aca="false">'4. Sales Forecast'!AV34+'4. Sales Forecast'!AV38</f>
        <v>37067250</v>
      </c>
      <c r="H20" s="121"/>
      <c r="I20" s="121"/>
      <c r="J20" s="121"/>
      <c r="K20" s="121"/>
      <c r="L20" s="121"/>
      <c r="M20" s="121"/>
      <c r="N20" s="121"/>
      <c r="O20" s="121"/>
      <c r="P20" s="121"/>
      <c r="Q20" s="63"/>
    </row>
    <row r="21" customFormat="false" ht="14.65" hidden="false" customHeight="false" outlineLevel="0" collapsed="false">
      <c r="A21" s="62"/>
      <c r="B21" s="62" t="s">
        <v>119</v>
      </c>
      <c r="C21" s="62"/>
      <c r="D21" s="57"/>
      <c r="E21" s="63" t="n">
        <f aca="false">'4. Sales Forecast'!T46+'4. Sales Forecast'!T50</f>
        <v>553032</v>
      </c>
      <c r="F21" s="63" t="n">
        <f aca="false">'4. Sales Forecast'!AH46+'4. Sales Forecast'!AH50</f>
        <v>8010010.755</v>
      </c>
      <c r="G21" s="63" t="n">
        <f aca="false">'4. Sales Forecast'!AV46+'4. Sales Forecast'!AV50</f>
        <v>14213663.49915</v>
      </c>
      <c r="H21" s="121"/>
      <c r="I21" s="121"/>
      <c r="J21" s="121"/>
      <c r="K21" s="121"/>
      <c r="L21" s="121"/>
      <c r="M21" s="121"/>
      <c r="N21" s="121"/>
      <c r="O21" s="121"/>
      <c r="P21" s="121"/>
      <c r="Q21" s="63"/>
    </row>
    <row r="22" customFormat="false" ht="14.65" hidden="false" customHeight="false" outlineLevel="0" collapsed="false">
      <c r="A22" s="62"/>
      <c r="B22" s="62" t="s">
        <v>120</v>
      </c>
      <c r="C22" s="62"/>
      <c r="D22" s="57"/>
      <c r="E22" s="63" t="n">
        <f aca="false">'4. Sales Forecast'!T58+'4. Sales Forecast'!T62</f>
        <v>16600</v>
      </c>
      <c r="F22" s="63" t="n">
        <f aca="false">'4. Sales Forecast'!AH58+'4. Sales Forecast'!AH62</f>
        <v>86000</v>
      </c>
      <c r="G22" s="63" t="n">
        <f aca="false">'4. Sales Forecast'!AV58+'4. Sales Forecast'!AV62</f>
        <v>171000</v>
      </c>
      <c r="H22" s="121"/>
      <c r="I22" s="121"/>
      <c r="J22" s="121"/>
      <c r="K22" s="121"/>
      <c r="L22" s="121"/>
      <c r="M22" s="121"/>
      <c r="N22" s="121"/>
      <c r="O22" s="121"/>
      <c r="P22" s="121"/>
      <c r="Q22" s="63"/>
    </row>
    <row r="23" customFormat="false" ht="14.65" hidden="false" customHeight="false" outlineLevel="0" collapsed="false">
      <c r="A23" s="62"/>
      <c r="B23" s="62"/>
      <c r="C23" s="62"/>
      <c r="D23" s="57"/>
      <c r="E23" s="84"/>
      <c r="F23" s="84"/>
      <c r="G23" s="84"/>
      <c r="H23" s="33"/>
      <c r="I23" s="33"/>
      <c r="J23" s="33"/>
      <c r="K23" s="33"/>
      <c r="L23" s="33"/>
      <c r="M23" s="33"/>
      <c r="N23" s="33"/>
      <c r="O23" s="33"/>
      <c r="P23" s="33"/>
      <c r="Q23" s="33"/>
    </row>
    <row r="24" customFormat="false" ht="14.65" hidden="false" customHeight="false" outlineLevel="0" collapsed="false">
      <c r="A24" s="62" t="s">
        <v>123</v>
      </c>
      <c r="B24" s="62"/>
      <c r="C24" s="62"/>
      <c r="D24" s="57"/>
      <c r="E24" s="63" t="n">
        <f aca="false">SUM(E18:E22)</f>
        <v>4896751.32</v>
      </c>
      <c r="F24" s="63" t="n">
        <f aca="false">SUM(F18:F22)</f>
        <v>61493999.9094904</v>
      </c>
      <c r="G24" s="63" t="n">
        <f aca="false">SUM(G18:G22)</f>
        <v>179053338.49915</v>
      </c>
      <c r="H24" s="33"/>
      <c r="I24" s="33"/>
      <c r="J24" s="33"/>
      <c r="K24" s="33"/>
      <c r="L24" s="33"/>
      <c r="M24" s="33"/>
      <c r="N24" s="33"/>
      <c r="O24" s="33"/>
      <c r="P24" s="33"/>
      <c r="Q24" s="33"/>
    </row>
    <row r="25" customFormat="false" ht="14.65" hidden="false" customHeight="false" outlineLevel="0" collapsed="false">
      <c r="A25" s="62"/>
      <c r="B25" s="62"/>
      <c r="C25" s="62"/>
      <c r="D25" s="57"/>
      <c r="E25" s="121"/>
      <c r="F25" s="121"/>
      <c r="G25" s="121"/>
      <c r="H25" s="33"/>
      <c r="I25" s="33"/>
      <c r="J25" s="33"/>
      <c r="K25" s="33"/>
      <c r="L25" s="33"/>
      <c r="M25" s="33"/>
      <c r="N25" s="33"/>
      <c r="O25" s="33"/>
      <c r="P25" s="33"/>
      <c r="Q25" s="33"/>
    </row>
    <row r="26" customFormat="false" ht="14.65" hidden="false" customHeight="false" outlineLevel="0" collapsed="false">
      <c r="A26" s="62" t="s">
        <v>124</v>
      </c>
      <c r="B26" s="62"/>
      <c r="C26" s="62"/>
      <c r="D26" s="57"/>
      <c r="E26" s="159" t="n">
        <f aca="false">E15-E24</f>
        <v>3675381.68</v>
      </c>
      <c r="F26" s="160" t="n">
        <f aca="false">F15-F24</f>
        <v>44288597.829797</v>
      </c>
      <c r="G26" s="159" t="n">
        <f aca="false">G15-G24</f>
        <v>114625188.29932</v>
      </c>
      <c r="H26" s="33"/>
      <c r="I26" s="33"/>
      <c r="J26" s="33"/>
      <c r="K26" s="33"/>
      <c r="L26" s="33"/>
      <c r="M26" s="33"/>
      <c r="N26" s="33"/>
      <c r="O26" s="33"/>
      <c r="P26" s="33"/>
      <c r="Q26" s="33"/>
    </row>
    <row r="27" customFormat="false" ht="14.65" hidden="false" customHeight="false" outlineLevel="0" collapsed="false">
      <c r="A27" s="62"/>
      <c r="B27" s="62"/>
      <c r="C27" s="62"/>
      <c r="D27" s="57"/>
      <c r="E27" s="161" t="n">
        <f aca="false">E26/E15</f>
        <v>0.428759292465481</v>
      </c>
      <c r="F27" s="162" t="n">
        <f aca="false">F26/F15</f>
        <v>0.418675649646561</v>
      </c>
      <c r="G27" s="162" t="n">
        <f aca="false">G26/G15</f>
        <v>0.39030837408817</v>
      </c>
      <c r="H27" s="63"/>
      <c r="I27" s="63"/>
      <c r="J27" s="63"/>
      <c r="K27" s="63"/>
      <c r="L27" s="63"/>
      <c r="M27" s="63"/>
      <c r="N27" s="63"/>
      <c r="O27" s="63"/>
      <c r="P27" s="63"/>
      <c r="Q27" s="63"/>
    </row>
    <row r="28" customFormat="false" ht="14.65" hidden="false" customHeight="false" outlineLevel="0" collapsed="false">
      <c r="A28" s="62"/>
      <c r="B28" s="62"/>
      <c r="C28" s="62"/>
      <c r="D28" s="57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</row>
    <row r="29" customFormat="false" ht="14.65" hidden="false" customHeight="false" outlineLevel="0" collapsed="false">
      <c r="A29" s="62" t="s">
        <v>125</v>
      </c>
      <c r="B29" s="62"/>
      <c r="C29" s="62"/>
      <c r="D29" s="57"/>
      <c r="E29" s="63" t="n">
        <f aca="false">'2. Salaries and Wages'!T25</f>
        <v>1100416.66666667</v>
      </c>
      <c r="F29" s="63" t="n">
        <f aca="false">'2. Salaries and Wages'!AH25</f>
        <v>4010000</v>
      </c>
      <c r="G29" s="63" t="n">
        <f aca="false">'2. Salaries and Wages'!AV25</f>
        <v>7187708.33333333</v>
      </c>
      <c r="H29" s="63"/>
      <c r="I29" s="63"/>
      <c r="J29" s="63"/>
      <c r="K29" s="63"/>
      <c r="L29" s="63"/>
      <c r="M29" s="63"/>
      <c r="N29" s="63"/>
      <c r="O29" s="63"/>
      <c r="P29" s="63"/>
      <c r="Q29" s="63"/>
    </row>
    <row r="30" customFormat="false" ht="14.65" hidden="false" customHeight="false" outlineLevel="0" collapsed="false">
      <c r="A30" s="62"/>
      <c r="B30" s="62"/>
      <c r="C30" s="62"/>
      <c r="D30" s="57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</row>
    <row r="31" customFormat="false" ht="14.65" hidden="false" customHeight="false" outlineLevel="0" collapsed="false">
      <c r="A31" s="62"/>
      <c r="B31" s="62"/>
      <c r="C31" s="62"/>
      <c r="D31" s="57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</row>
    <row r="32" customFormat="false" ht="14.65" hidden="false" customHeight="false" outlineLevel="0" collapsed="false">
      <c r="A32" s="62"/>
      <c r="B32" s="62"/>
      <c r="C32" s="62"/>
      <c r="D32" s="57"/>
      <c r="E32" s="163" t="s">
        <v>66</v>
      </c>
      <c r="F32" s="163" t="s">
        <v>113</v>
      </c>
      <c r="G32" s="163" t="s">
        <v>114</v>
      </c>
      <c r="H32" s="63"/>
      <c r="I32" s="63"/>
      <c r="J32" s="63"/>
      <c r="K32" s="63"/>
      <c r="L32" s="63"/>
      <c r="M32" s="63"/>
      <c r="N32" s="63"/>
      <c r="O32" s="63"/>
      <c r="P32" s="63"/>
      <c r="Q32" s="63"/>
    </row>
    <row r="33" customFormat="false" ht="14.65" hidden="false" customHeight="false" outlineLevel="0" collapsed="false">
      <c r="A33" s="62"/>
      <c r="B33" s="62"/>
      <c r="C33" s="62"/>
      <c r="D33" s="57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</row>
    <row r="34" customFormat="false" ht="14.65" hidden="false" customHeight="false" outlineLevel="0" collapsed="false">
      <c r="A34" s="62" t="s">
        <v>126</v>
      </c>
      <c r="B34" s="62"/>
      <c r="C34" s="62"/>
      <c r="D34" s="57"/>
      <c r="E34" s="84" t="n">
        <f aca="false">'3. Operating Expenses'!O26+E29</f>
        <v>1286796.62666667</v>
      </c>
      <c r="F34" s="84" t="n">
        <f aca="false">'3. Operating Expenses'!AC26</f>
        <v>49672831.851232</v>
      </c>
      <c r="G34" s="84" t="n">
        <f aca="false">G29+'3. Operating Expenses'!AC26*1.1</f>
        <v>61827823.3696885</v>
      </c>
      <c r="H34" s="33"/>
      <c r="I34" s="33"/>
      <c r="J34" s="33"/>
      <c r="K34" s="33"/>
      <c r="L34" s="33"/>
      <c r="M34" s="33"/>
      <c r="N34" s="33"/>
      <c r="O34" s="33"/>
      <c r="P34" s="33"/>
      <c r="Q34" s="33"/>
    </row>
    <row r="35" customFormat="false" ht="14.65" hidden="false" customHeight="false" outlineLevel="0" collapsed="false">
      <c r="A35" s="62" t="s">
        <v>127</v>
      </c>
      <c r="B35" s="62"/>
      <c r="C35" s="62"/>
      <c r="D35" s="57"/>
      <c r="E35" s="164" t="n">
        <f aca="false">E26-E34</f>
        <v>2388585.05333333</v>
      </c>
      <c r="F35" s="164" t="n">
        <f aca="false">F26-F34</f>
        <v>-5384234.02143498</v>
      </c>
      <c r="G35" s="164" t="n">
        <f aca="false">G26-G34</f>
        <v>52797364.9296315</v>
      </c>
      <c r="H35" s="33"/>
      <c r="I35" s="33"/>
      <c r="J35" s="33"/>
      <c r="K35" s="33"/>
      <c r="L35" s="33"/>
      <c r="M35" s="33"/>
      <c r="N35" s="33"/>
      <c r="O35" s="33"/>
      <c r="P35" s="33"/>
      <c r="Q35" s="33"/>
    </row>
  </sheetData>
  <printOptions headings="false" gridLines="false" gridLinesSet="true" horizontalCentered="false" verticalCentered="false"/>
  <pageMargins left="0.7875" right="0.7875" top="1.025" bottom="1.025" header="0.7875" footer="0.7875"/>
  <pageSetup paperSize="1" scale="100" firstPageNumber="1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&amp;C&amp;A</oddHeader>
    <oddFooter>&amp;CPage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O25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4.65"/>
  <cols>
    <col collapsed="false" hidden="false" max="1" min="1" style="155" width="14.4183673469388"/>
    <col collapsed="false" hidden="false" max="2" min="2" style="155" width="31.7244897959184"/>
    <col collapsed="false" hidden="false" max="3" min="3" style="155" width="10.8520408163265"/>
    <col collapsed="false" hidden="false" max="4" min="4" style="155" width="11.4540816326531"/>
    <col collapsed="false" hidden="false" max="5" min="5" style="155" width="12.4183673469388"/>
    <col collapsed="false" hidden="false" max="6" min="6" style="155" width="10.8520408163265"/>
    <col collapsed="false" hidden="false" max="7" min="7" style="155" width="12.3010204081633"/>
    <col collapsed="false" hidden="false" max="9" min="8" style="155" width="10.8520408163265"/>
    <col collapsed="false" hidden="false" max="10" min="10" style="155" width="12.4183673469388"/>
    <col collapsed="false" hidden="false" max="11" min="11" style="155" width="12.8316326530612"/>
    <col collapsed="false" hidden="false" max="12" min="12" style="155" width="13.6683673469388"/>
    <col collapsed="false" hidden="false" max="13" min="13" style="155" width="12.5816326530612"/>
    <col collapsed="false" hidden="false" max="14" min="14" style="155" width="11.8775510204082"/>
    <col collapsed="false" hidden="false" max="15" min="15" style="155" width="12.1581632653061"/>
    <col collapsed="false" hidden="false" max="257" min="16" style="155" width="10.8520408163265"/>
    <col collapsed="false" hidden="false" max="1025" min="258" style="33" width="10.8520408163265"/>
  </cols>
  <sheetData>
    <row r="1" customFormat="false" ht="20.1" hidden="false" customHeight="true" outlineLevel="0" collapsed="false">
      <c r="A1" s="156" t="s">
        <v>0</v>
      </c>
      <c r="B1" s="53"/>
      <c r="C1" s="57"/>
      <c r="D1" s="57"/>
      <c r="E1" s="57"/>
      <c r="F1" s="57"/>
      <c r="G1" s="57"/>
      <c r="H1" s="57"/>
    </row>
    <row r="2" customFormat="false" ht="17" hidden="false" customHeight="false" outlineLevel="0" collapsed="false">
      <c r="A2" s="157" t="s">
        <v>128</v>
      </c>
      <c r="B2" s="57"/>
      <c r="C2" s="57"/>
      <c r="D2" s="57"/>
      <c r="E2" s="57"/>
      <c r="F2" s="57"/>
      <c r="G2" s="57"/>
      <c r="H2" s="57"/>
    </row>
    <row r="3" customFormat="false" ht="14.65" hidden="false" customHeight="false" outlineLevel="0" collapsed="false">
      <c r="A3" s="57"/>
      <c r="B3" s="165" t="s">
        <v>129</v>
      </c>
      <c r="C3" s="165"/>
      <c r="D3" s="166" t="s">
        <v>130</v>
      </c>
      <c r="E3" s="166" t="s">
        <v>131</v>
      </c>
      <c r="F3" s="166" t="s">
        <v>132</v>
      </c>
      <c r="G3" s="166" t="s">
        <v>133</v>
      </c>
      <c r="H3" s="166" t="s">
        <v>134</v>
      </c>
      <c r="I3" s="166" t="s">
        <v>135</v>
      </c>
      <c r="J3" s="166" t="s">
        <v>136</v>
      </c>
      <c r="K3" s="166" t="s">
        <v>137</v>
      </c>
      <c r="L3" s="166" t="s">
        <v>138</v>
      </c>
      <c r="M3" s="166" t="s">
        <v>138</v>
      </c>
      <c r="N3" s="166" t="s">
        <v>139</v>
      </c>
      <c r="O3" s="166" t="s">
        <v>140</v>
      </c>
    </row>
    <row r="4" customFormat="false" ht="14.65" hidden="false" customHeight="false" outlineLevel="0" collapsed="false">
      <c r="A4" s="57"/>
      <c r="B4" s="165" t="s">
        <v>141</v>
      </c>
      <c r="C4" s="165"/>
      <c r="D4" s="167" t="n">
        <f aca="false">'4. Sales Forecast'!H69</f>
        <v>0</v>
      </c>
      <c r="E4" s="167" t="n">
        <f aca="false">'4. Sales Forecast'!I69</f>
        <v>46144</v>
      </c>
      <c r="F4" s="167" t="n">
        <f aca="false">'4. Sales Forecast'!J69</f>
        <v>189017</v>
      </c>
      <c r="G4" s="167" t="n">
        <f aca="false">'4. Sales Forecast'!K69</f>
        <v>322281</v>
      </c>
      <c r="H4" s="167" t="n">
        <f aca="false">'4. Sales Forecast'!L69</f>
        <v>467746</v>
      </c>
      <c r="I4" s="167" t="n">
        <f aca="false">'4. Sales Forecast'!M69</f>
        <v>621935</v>
      </c>
      <c r="J4" s="167" t="n">
        <f aca="false">'4. Sales Forecast'!N69</f>
        <v>888196</v>
      </c>
      <c r="K4" s="167" t="n">
        <f aca="false">'4. Sales Forecast'!O69</f>
        <v>878841</v>
      </c>
      <c r="L4" s="167" t="n">
        <f aca="false">'4. Sales Forecast'!P69</f>
        <v>1043422.6</v>
      </c>
      <c r="M4" s="167" t="n">
        <f aca="false">'4. Sales Forecast'!Q69</f>
        <v>1169495</v>
      </c>
      <c r="N4" s="167" t="n">
        <f aca="false">'4. Sales Forecast'!R69</f>
        <v>1301499.4</v>
      </c>
      <c r="O4" s="167" t="n">
        <f aca="false">'4. Sales Forecast'!S69</f>
        <v>1643556</v>
      </c>
    </row>
    <row r="5" customFormat="false" ht="14.65" hidden="false" customHeight="false" outlineLevel="0" collapsed="false">
      <c r="A5" s="57"/>
      <c r="B5" s="165" t="s">
        <v>122</v>
      </c>
      <c r="C5" s="165"/>
      <c r="D5" s="168" t="n">
        <f aca="false">'4. Sales Forecast'!H70</f>
        <v>0</v>
      </c>
      <c r="E5" s="168" t="n">
        <f aca="false">'4. Sales Forecast'!I70</f>
        <v>30850</v>
      </c>
      <c r="F5" s="168" t="n">
        <f aca="false">'4. Sales Forecast'!J70</f>
        <v>108184</v>
      </c>
      <c r="G5" s="168" t="n">
        <f aca="false">'4. Sales Forecast'!K70</f>
        <v>185449</v>
      </c>
      <c r="H5" s="168" t="n">
        <f aca="false">'4. Sales Forecast'!L70</f>
        <v>267618</v>
      </c>
      <c r="I5" s="168" t="n">
        <f aca="false">'4. Sales Forecast'!M70</f>
        <v>357672</v>
      </c>
      <c r="J5" s="168" t="n">
        <f aca="false">'4. Sales Forecast'!N70</f>
        <v>505144</v>
      </c>
      <c r="K5" s="168" t="n">
        <f aca="false">'4. Sales Forecast'!O70</f>
        <v>500550</v>
      </c>
      <c r="L5" s="168" t="n">
        <f aca="false">'4. Sales Forecast'!P70</f>
        <v>594240</v>
      </c>
      <c r="M5" s="168" t="n">
        <f aca="false">'4. Sales Forecast'!Q70</f>
        <v>665421.6</v>
      </c>
      <c r="N5" s="168" t="n">
        <f aca="false">'4. Sales Forecast'!R70</f>
        <v>749297.72</v>
      </c>
      <c r="O5" s="168" t="n">
        <f aca="false">'4. Sales Forecast'!S70</f>
        <v>932325</v>
      </c>
    </row>
    <row r="6" customFormat="false" ht="14.65" hidden="false" customHeight="false" outlineLevel="0" collapsed="false">
      <c r="A6" s="33"/>
      <c r="B6" s="165" t="s">
        <v>124</v>
      </c>
      <c r="C6" s="165"/>
      <c r="D6" s="169" t="n">
        <f aca="false">D4-D5</f>
        <v>0</v>
      </c>
      <c r="E6" s="169" t="n">
        <f aca="false">E4-E5</f>
        <v>15294</v>
      </c>
      <c r="F6" s="170" t="n">
        <f aca="false">F4-F5</f>
        <v>80833</v>
      </c>
      <c r="G6" s="170" t="n">
        <f aca="false">G4-G5</f>
        <v>136832</v>
      </c>
      <c r="H6" s="170" t="n">
        <f aca="false">H4-H5</f>
        <v>200128</v>
      </c>
      <c r="I6" s="170" t="n">
        <f aca="false">I4-I5</f>
        <v>264263</v>
      </c>
      <c r="J6" s="170" t="n">
        <f aca="false">J4-J5</f>
        <v>383052</v>
      </c>
      <c r="K6" s="170" t="n">
        <f aca="false">K4-K5</f>
        <v>378291</v>
      </c>
      <c r="L6" s="170" t="n">
        <f aca="false">L4-L5</f>
        <v>449182.6</v>
      </c>
      <c r="M6" s="170" t="n">
        <f aca="false">M4-M5</f>
        <v>504073.4</v>
      </c>
      <c r="N6" s="170" t="n">
        <f aca="false">N4-N5</f>
        <v>552201.68</v>
      </c>
      <c r="O6" s="170" t="n">
        <f aca="false">O4-O5</f>
        <v>711231</v>
      </c>
    </row>
    <row r="7" customFormat="false" ht="14.65" hidden="false" customHeight="false" outlineLevel="0" collapsed="false">
      <c r="A7" s="34"/>
      <c r="B7" s="165"/>
      <c r="C7" s="165"/>
      <c r="D7" s="169"/>
      <c r="E7" s="171"/>
      <c r="F7" s="172"/>
      <c r="G7" s="172"/>
      <c r="H7" s="172"/>
      <c r="I7" s="173"/>
      <c r="J7" s="173"/>
      <c r="K7" s="173"/>
      <c r="L7" s="173"/>
      <c r="M7" s="173"/>
      <c r="N7" s="173"/>
      <c r="O7" s="173"/>
    </row>
    <row r="8" customFormat="false" ht="14.65" hidden="false" customHeight="false" outlineLevel="0" collapsed="false">
      <c r="A8" s="34"/>
      <c r="B8" s="165" t="s">
        <v>22</v>
      </c>
      <c r="C8" s="165"/>
      <c r="D8" s="169" t="n">
        <f aca="false">'2. Salaries and Wages'!H39</f>
        <v>13578.125</v>
      </c>
      <c r="E8" s="169" t="n">
        <f aca="false">'2. Salaries and Wages'!I39</f>
        <v>23914.375</v>
      </c>
      <c r="F8" s="169" t="n">
        <f aca="false">'2. Salaries and Wages'!J39</f>
        <v>41808.125</v>
      </c>
      <c r="G8" s="169" t="n">
        <f aca="false">'2. Salaries and Wages'!K39</f>
        <v>49681.25</v>
      </c>
      <c r="H8" s="169" t="n">
        <f aca="false">'2. Salaries and Wages'!L39</f>
        <v>49681.25</v>
      </c>
      <c r="I8" s="169" t="n">
        <f aca="false">'2. Salaries and Wages'!M39</f>
        <v>60017.5</v>
      </c>
      <c r="J8" s="169" t="n">
        <f aca="false">'2. Salaries and Wages'!N39</f>
        <v>108940.625</v>
      </c>
      <c r="K8" s="169" t="n">
        <f aca="false">'2. Salaries and Wages'!O39</f>
        <v>153990.625</v>
      </c>
      <c r="L8" s="169" t="n">
        <f aca="false">'2. Salaries and Wages'!P39</f>
        <v>185778.125</v>
      </c>
      <c r="M8" s="169" t="n">
        <f aca="false">'2. Salaries and Wages'!Q39</f>
        <v>221881.25</v>
      </c>
      <c r="N8" s="169" t="n">
        <f aca="false">'2. Salaries and Wages'!R39</f>
        <v>249037.5</v>
      </c>
      <c r="O8" s="169" t="n">
        <f aca="false">'2. Salaries and Wages'!S39</f>
        <v>274804.375</v>
      </c>
    </row>
    <row r="9" customFormat="false" ht="14.65" hidden="false" customHeight="false" outlineLevel="0" collapsed="false">
      <c r="A9" s="34"/>
      <c r="B9" s="165" t="s">
        <v>142</v>
      </c>
      <c r="C9" s="165"/>
      <c r="D9" s="168" t="n">
        <f aca="false">'3. Operating Expenses'!C26</f>
        <v>11483</v>
      </c>
      <c r="E9" s="168" t="n">
        <f aca="false">'3. Operating Expenses'!D26</f>
        <v>8583</v>
      </c>
      <c r="F9" s="168" t="n">
        <f aca="false">'3. Operating Expenses'!E26</f>
        <v>10603</v>
      </c>
      <c r="G9" s="168" t="n">
        <f aca="false">'3. Operating Expenses'!F26</f>
        <v>7908</v>
      </c>
      <c r="H9" s="168" t="n">
        <f aca="false">'3. Operating Expenses'!G26</f>
        <v>11158</v>
      </c>
      <c r="I9" s="168" t="n">
        <f aca="false">'3. Operating Expenses'!H26</f>
        <v>33208</v>
      </c>
      <c r="J9" s="168" t="n">
        <f aca="false">'3. Operating Expenses'!I26</f>
        <v>12791</v>
      </c>
      <c r="K9" s="168" t="n">
        <f aca="false">'3. Operating Expenses'!J26</f>
        <v>14541</v>
      </c>
      <c r="L9" s="168" t="n">
        <f aca="false">'3. Operating Expenses'!K26</f>
        <v>29528</v>
      </c>
      <c r="M9" s="168" t="n">
        <f aca="false">'3. Operating Expenses'!L26</f>
        <v>15430</v>
      </c>
      <c r="N9" s="168" t="n">
        <f aca="false">'3. Operating Expenses'!M26</f>
        <v>17136.8</v>
      </c>
      <c r="O9" s="168" t="n">
        <f aca="false">'3. Operating Expenses'!N26</f>
        <v>14510.16</v>
      </c>
    </row>
    <row r="10" customFormat="false" ht="14.65" hidden="false" customHeight="false" outlineLevel="0" collapsed="false">
      <c r="A10" s="34"/>
      <c r="B10" s="165" t="s">
        <v>89</v>
      </c>
      <c r="C10" s="165"/>
      <c r="D10" s="171" t="n">
        <f aca="false">SUM(D8:D9)</f>
        <v>25061.125</v>
      </c>
      <c r="E10" s="171" t="n">
        <f aca="false">SUM(E8:E9)</f>
        <v>32497.375</v>
      </c>
      <c r="F10" s="173" t="n">
        <f aca="false">SUM(F8:F9)</f>
        <v>52411.125</v>
      </c>
      <c r="G10" s="173" t="n">
        <f aca="false">SUM(G8:G9)</f>
        <v>57589.25</v>
      </c>
      <c r="H10" s="173" t="n">
        <f aca="false">SUM(H8:H9)</f>
        <v>60839.25</v>
      </c>
      <c r="I10" s="173" t="n">
        <f aca="false">SUM(I8:I9)</f>
        <v>93225.5</v>
      </c>
      <c r="J10" s="173" t="n">
        <f aca="false">SUM(J8:J9)</f>
        <v>121731.625</v>
      </c>
      <c r="K10" s="173" t="n">
        <f aca="false">SUM(K8:K9)</f>
        <v>168531.625</v>
      </c>
      <c r="L10" s="173" t="n">
        <f aca="false">SUM(L8:L9)</f>
        <v>215306.125</v>
      </c>
      <c r="M10" s="173" t="n">
        <f aca="false">SUM(M8:M9)</f>
        <v>237311.25</v>
      </c>
      <c r="N10" s="173" t="n">
        <f aca="false">SUM(N8:N9)</f>
        <v>266174.3</v>
      </c>
      <c r="O10" s="173" t="n">
        <f aca="false">SUM(O8:O9)</f>
        <v>289314.535</v>
      </c>
    </row>
    <row r="11" customFormat="false" ht="14.65" hidden="false" customHeight="false" outlineLevel="0" collapsed="false">
      <c r="A11" s="34"/>
      <c r="B11" s="165"/>
      <c r="C11" s="165"/>
      <c r="D11" s="171"/>
      <c r="E11" s="167"/>
      <c r="F11" s="169"/>
      <c r="G11" s="169"/>
      <c r="H11" s="169"/>
      <c r="I11" s="173"/>
      <c r="J11" s="173"/>
      <c r="K11" s="173"/>
      <c r="L11" s="173"/>
      <c r="M11" s="173"/>
      <c r="N11" s="173"/>
      <c r="O11" s="173"/>
    </row>
    <row r="12" customFormat="false" ht="14.65" hidden="false" customHeight="false" outlineLevel="0" collapsed="false">
      <c r="A12" s="34"/>
      <c r="B12" s="165" t="s">
        <v>143</v>
      </c>
      <c r="C12" s="165"/>
      <c r="D12" s="174" t="n">
        <f aca="false">D6-D10</f>
        <v>-25061.125</v>
      </c>
      <c r="E12" s="174" t="n">
        <f aca="false">E6-E10</f>
        <v>-17203.375</v>
      </c>
      <c r="F12" s="175" t="n">
        <f aca="false">F6-F10</f>
        <v>28421.875</v>
      </c>
      <c r="G12" s="175" t="n">
        <f aca="false">G6-G10</f>
        <v>79242.75</v>
      </c>
      <c r="H12" s="175" t="n">
        <f aca="false">H6-H10</f>
        <v>139288.75</v>
      </c>
      <c r="I12" s="175" t="n">
        <f aca="false">I6-I10</f>
        <v>171037.5</v>
      </c>
      <c r="J12" s="175" t="n">
        <f aca="false">J6-J10</f>
        <v>261320.375</v>
      </c>
      <c r="K12" s="175" t="n">
        <f aca="false">K6-K10</f>
        <v>209759.375</v>
      </c>
      <c r="L12" s="175" t="n">
        <f aca="false">L6-L10</f>
        <v>233876.475</v>
      </c>
      <c r="M12" s="175" t="n">
        <f aca="false">M6-M10</f>
        <v>266762.15</v>
      </c>
      <c r="N12" s="175" t="n">
        <f aca="false">N6-N10</f>
        <v>286027.38</v>
      </c>
      <c r="O12" s="175" t="n">
        <f aca="false">O6-O10</f>
        <v>421916.465</v>
      </c>
    </row>
    <row r="13" customFormat="false" ht="15.8" hidden="false" customHeight="false" outlineLevel="0" collapsed="false">
      <c r="A13" s="34"/>
      <c r="B13" s="176" t="s">
        <v>144</v>
      </c>
      <c r="C13" s="177"/>
      <c r="D13" s="174" t="n">
        <f aca="false">D12</f>
        <v>-25061.125</v>
      </c>
      <c r="E13" s="174" t="n">
        <f aca="false">D13+E12</f>
        <v>-42264.5</v>
      </c>
      <c r="F13" s="174" t="n">
        <f aca="false">E13+F12</f>
        <v>-13842.625</v>
      </c>
      <c r="G13" s="175" t="n">
        <f aca="false">F13+G12</f>
        <v>65400.125</v>
      </c>
      <c r="H13" s="175" t="n">
        <f aca="false">G13+H12</f>
        <v>204688.875</v>
      </c>
      <c r="I13" s="175" t="n">
        <f aca="false">H13+I12</f>
        <v>375726.375</v>
      </c>
      <c r="J13" s="175" t="n">
        <f aca="false">I13+J12</f>
        <v>637046.75</v>
      </c>
      <c r="K13" s="175" t="n">
        <f aca="false">J13+K12</f>
        <v>846806.125</v>
      </c>
      <c r="L13" s="175" t="n">
        <f aca="false">K13+L12</f>
        <v>1080682.6</v>
      </c>
      <c r="M13" s="175" t="n">
        <f aca="false">L13+M12</f>
        <v>1347444.75</v>
      </c>
      <c r="N13" s="175" t="n">
        <f aca="false">M13+N12</f>
        <v>1633472.13</v>
      </c>
      <c r="O13" s="175" t="n">
        <f aca="false">N13+O12</f>
        <v>2055388.595</v>
      </c>
    </row>
    <row r="14" customFormat="false" ht="15.8" hidden="false" customHeight="false" outlineLevel="0" collapsed="false">
      <c r="A14" s="34"/>
      <c r="B14" s="177"/>
      <c r="C14" s="177"/>
      <c r="D14" s="174"/>
      <c r="E14" s="174"/>
      <c r="F14" s="174"/>
      <c r="G14" s="174"/>
      <c r="H14" s="174"/>
      <c r="I14" s="174"/>
      <c r="J14" s="174"/>
      <c r="K14" s="174"/>
      <c r="L14" s="174"/>
      <c r="M14" s="174"/>
      <c r="N14" s="174"/>
      <c r="O14" s="174"/>
    </row>
    <row r="25" customFormat="false" ht="13.5" hidden="false" customHeight="true" outlineLevel="0" collapsed="false"/>
  </sheetData>
  <printOptions headings="false" gridLines="false" gridLinesSet="true" horizontalCentered="false" verticalCentered="false"/>
  <pageMargins left="0.7875" right="0.7875" top="1.025" bottom="1.025" header="0.7875" footer="0.7875"/>
  <pageSetup paperSize="1" scale="100" firstPageNumber="1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169132</TotalTime>
  <Application>LibreOffice/4.2.7.2$Linux_X86_64 LibreOffice_project/420m0$Build-2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2014-12-10T15:49:33Z</dcterms:created>
  <dc:creator>Andrew Sharp</dc:creator>
  <dc:language>en-US</dc:language>
  <cp:lastModifiedBy>Andrew Sharp</cp:lastModifiedBy>
  <dcterms:modified xsi:type="dcterms:W3CDTF">2015-03-31T10:16:53Z</dcterms:modified>
  <cp:revision>72</cp:revision>
</cp:coreProperties>
</file>